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brank\Documents\AMAZON Textbook\Amamzon Web - Want to Learn More\"/>
    </mc:Choice>
  </mc:AlternateContent>
  <xr:revisionPtr revIDLastSave="0" documentId="8_{37861800-DD8B-4891-B672-E4B445FA4C0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-test for pop vars" sheetId="2" r:id="rId1"/>
    <sheet name="Levene's test - Mean" sheetId="3" r:id="rId2"/>
    <sheet name="X1" sheetId="7" r:id="rId3"/>
    <sheet name="X2" sheetId="8" r:id="rId4"/>
    <sheet name="Mod Levene's test - Median" sheetId="4" r:id="rId5"/>
    <sheet name="Levene's test - Example 2" sheetId="6" r:id="rId6"/>
    <sheet name="Mod Levene's test - Example 2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3" i="8" l="1"/>
  <c r="J22" i="8"/>
  <c r="G15" i="8"/>
  <c r="G14" i="8"/>
  <c r="G13" i="8"/>
  <c r="G21" i="8" s="1"/>
  <c r="G12" i="8"/>
  <c r="G20" i="8" s="1"/>
  <c r="J49" i="7"/>
  <c r="J35" i="7"/>
  <c r="J23" i="7"/>
  <c r="G14" i="7"/>
  <c r="G13" i="7"/>
  <c r="G16" i="7" s="1"/>
  <c r="G12" i="7"/>
  <c r="G19" i="7" s="1"/>
  <c r="G11" i="7"/>
  <c r="G18" i="7" s="1"/>
  <c r="J10" i="7"/>
  <c r="G18" i="8" l="1"/>
  <c r="G27" i="8" s="1"/>
  <c r="G30" i="8"/>
  <c r="G29" i="8"/>
  <c r="G24" i="8"/>
  <c r="G25" i="8" s="1"/>
  <c r="G28" i="8"/>
  <c r="G33" i="7"/>
  <c r="G35" i="7" s="1"/>
  <c r="G21" i="7"/>
  <c r="G23" i="7" s="1"/>
  <c r="G22" i="7"/>
  <c r="G32" i="7"/>
  <c r="G20" i="7"/>
  <c r="G34" i="7"/>
  <c r="M21" i="5" l="1"/>
  <c r="E19" i="5" s="1"/>
  <c r="G19" i="5" s="1"/>
  <c r="M20" i="5"/>
  <c r="D18" i="5" s="1"/>
  <c r="F18" i="5" s="1"/>
  <c r="M18" i="5"/>
  <c r="M17" i="5"/>
  <c r="M19" i="5" s="1"/>
  <c r="M16" i="5"/>
  <c r="M31" i="5" s="1"/>
  <c r="E7" i="5" l="1"/>
  <c r="G7" i="5" s="1"/>
  <c r="E15" i="5"/>
  <c r="G15" i="5" s="1"/>
  <c r="E20" i="5"/>
  <c r="G20" i="5" s="1"/>
  <c r="E9" i="5"/>
  <c r="G9" i="5" s="1"/>
  <c r="E18" i="5"/>
  <c r="G18" i="5" s="1"/>
  <c r="E11" i="5"/>
  <c r="G11" i="5" s="1"/>
  <c r="D17" i="5"/>
  <c r="F17" i="5" s="1"/>
  <c r="E5" i="5"/>
  <c r="G5" i="5" s="1"/>
  <c r="E13" i="5"/>
  <c r="G13" i="5" s="1"/>
  <c r="E17" i="5"/>
  <c r="G17" i="5" s="1"/>
  <c r="D4" i="5"/>
  <c r="F4" i="5" s="1"/>
  <c r="D6" i="5"/>
  <c r="F6" i="5" s="1"/>
  <c r="D8" i="5"/>
  <c r="F8" i="5" s="1"/>
  <c r="D10" i="5"/>
  <c r="F10" i="5" s="1"/>
  <c r="D12" i="5"/>
  <c r="F12" i="5" s="1"/>
  <c r="D14" i="5"/>
  <c r="F14" i="5" s="1"/>
  <c r="D16" i="5"/>
  <c r="F16" i="5" s="1"/>
  <c r="M32" i="5"/>
  <c r="M34" i="5" s="1"/>
  <c r="E4" i="5"/>
  <c r="G4" i="5" s="1"/>
  <c r="E6" i="5"/>
  <c r="G6" i="5" s="1"/>
  <c r="E8" i="5"/>
  <c r="G8" i="5" s="1"/>
  <c r="E10" i="5"/>
  <c r="G10" i="5" s="1"/>
  <c r="E12" i="5"/>
  <c r="G12" i="5" s="1"/>
  <c r="E14" i="5"/>
  <c r="G14" i="5" s="1"/>
  <c r="E16" i="5"/>
  <c r="G16" i="5" s="1"/>
  <c r="D19" i="5"/>
  <c r="F19" i="5" s="1"/>
  <c r="D5" i="5"/>
  <c r="F5" i="5" s="1"/>
  <c r="D7" i="5"/>
  <c r="F7" i="5" s="1"/>
  <c r="D9" i="5"/>
  <c r="F9" i="5" s="1"/>
  <c r="D11" i="5"/>
  <c r="F11" i="5" s="1"/>
  <c r="D13" i="5"/>
  <c r="F13" i="5" s="1"/>
  <c r="D15" i="5"/>
  <c r="F15" i="5" s="1"/>
  <c r="M21" i="6"/>
  <c r="E20" i="6" s="1"/>
  <c r="G20" i="6" s="1"/>
  <c r="M20" i="6"/>
  <c r="D19" i="6" s="1"/>
  <c r="F19" i="6" s="1"/>
  <c r="M18" i="6"/>
  <c r="E18" i="6"/>
  <c r="G18" i="6" s="1"/>
  <c r="M17" i="6"/>
  <c r="M19" i="6" s="1"/>
  <c r="M32" i="6" s="1"/>
  <c r="E17" i="6"/>
  <c r="G17" i="6" s="1"/>
  <c r="M16" i="6"/>
  <c r="E15" i="6"/>
  <c r="G15" i="6" s="1"/>
  <c r="E14" i="6"/>
  <c r="G14" i="6" s="1"/>
  <c r="E12" i="6"/>
  <c r="G12" i="6" s="1"/>
  <c r="E11" i="6"/>
  <c r="G11" i="6" s="1"/>
  <c r="E7" i="6"/>
  <c r="G7" i="6" s="1"/>
  <c r="E6" i="6"/>
  <c r="G6" i="6" s="1"/>
  <c r="E4" i="6"/>
  <c r="G4" i="6" s="1"/>
  <c r="M21" i="4"/>
  <c r="E8" i="4" s="1"/>
  <c r="G8" i="4" s="1"/>
  <c r="M20" i="4"/>
  <c r="D20" i="4"/>
  <c r="F20" i="4" s="1"/>
  <c r="D19" i="4"/>
  <c r="F19" i="4" s="1"/>
  <c r="M18" i="4"/>
  <c r="D18" i="4"/>
  <c r="F18" i="4" s="1"/>
  <c r="M17" i="4"/>
  <c r="M16" i="4"/>
  <c r="M31" i="4" s="1"/>
  <c r="D15" i="4"/>
  <c r="F15" i="4" s="1"/>
  <c r="D13" i="4"/>
  <c r="F13" i="4" s="1"/>
  <c r="D11" i="4"/>
  <c r="F11" i="4" s="1"/>
  <c r="D9" i="4"/>
  <c r="F9" i="4" s="1"/>
  <c r="D7" i="4"/>
  <c r="F7" i="4" s="1"/>
  <c r="D5" i="4"/>
  <c r="F5" i="4" s="1"/>
  <c r="E5" i="6" l="1"/>
  <c r="G5" i="6" s="1"/>
  <c r="M23" i="6" s="1"/>
  <c r="E13" i="6"/>
  <c r="G13" i="6" s="1"/>
  <c r="D18" i="6"/>
  <c r="F18" i="6" s="1"/>
  <c r="E8" i="6"/>
  <c r="G8" i="6" s="1"/>
  <c r="E16" i="6"/>
  <c r="G16" i="6" s="1"/>
  <c r="E19" i="6"/>
  <c r="G19" i="6" s="1"/>
  <c r="E9" i="6"/>
  <c r="G9" i="6" s="1"/>
  <c r="E10" i="6"/>
  <c r="G10" i="6" s="1"/>
  <c r="D17" i="6"/>
  <c r="F17" i="6" s="1"/>
  <c r="D5" i="6"/>
  <c r="F5" i="6" s="1"/>
  <c r="D7" i="6"/>
  <c r="F7" i="6" s="1"/>
  <c r="D9" i="6"/>
  <c r="F9" i="6" s="1"/>
  <c r="D11" i="6"/>
  <c r="F11" i="6" s="1"/>
  <c r="D13" i="6"/>
  <c r="F13" i="6" s="1"/>
  <c r="D15" i="6"/>
  <c r="F15" i="6" s="1"/>
  <c r="M22" i="5"/>
  <c r="H4" i="5" s="1"/>
  <c r="M24" i="5"/>
  <c r="M23" i="5"/>
  <c r="I14" i="5" s="1"/>
  <c r="I10" i="5"/>
  <c r="M31" i="6"/>
  <c r="M34" i="6" s="1"/>
  <c r="D4" i="6"/>
  <c r="F4" i="6" s="1"/>
  <c r="D6" i="6"/>
  <c r="F6" i="6" s="1"/>
  <c r="D8" i="6"/>
  <c r="F8" i="6" s="1"/>
  <c r="D10" i="6"/>
  <c r="F10" i="6" s="1"/>
  <c r="D12" i="6"/>
  <c r="F12" i="6" s="1"/>
  <c r="D14" i="6"/>
  <c r="F14" i="6" s="1"/>
  <c r="D16" i="6"/>
  <c r="F16" i="6" s="1"/>
  <c r="E4" i="4"/>
  <c r="G4" i="4" s="1"/>
  <c r="E12" i="4"/>
  <c r="G12" i="4" s="1"/>
  <c r="M19" i="4"/>
  <c r="E21" i="4"/>
  <c r="G21" i="4" s="1"/>
  <c r="E17" i="4"/>
  <c r="G17" i="4" s="1"/>
  <c r="E18" i="4"/>
  <c r="G18" i="4" s="1"/>
  <c r="E15" i="4"/>
  <c r="G15" i="4" s="1"/>
  <c r="E13" i="4"/>
  <c r="G13" i="4" s="1"/>
  <c r="E11" i="4"/>
  <c r="G11" i="4" s="1"/>
  <c r="E9" i="4"/>
  <c r="G9" i="4" s="1"/>
  <c r="E7" i="4"/>
  <c r="G7" i="4" s="1"/>
  <c r="E5" i="4"/>
  <c r="G5" i="4" s="1"/>
  <c r="E27" i="4"/>
  <c r="G27" i="4" s="1"/>
  <c r="E26" i="4"/>
  <c r="G26" i="4" s="1"/>
  <c r="E25" i="4"/>
  <c r="G25" i="4" s="1"/>
  <c r="E24" i="4"/>
  <c r="G24" i="4" s="1"/>
  <c r="E23" i="4"/>
  <c r="G23" i="4" s="1"/>
  <c r="E22" i="4"/>
  <c r="G22" i="4" s="1"/>
  <c r="E19" i="4"/>
  <c r="G19" i="4" s="1"/>
  <c r="E6" i="4"/>
  <c r="G6" i="4" s="1"/>
  <c r="E10" i="4"/>
  <c r="G10" i="4" s="1"/>
  <c r="E14" i="4"/>
  <c r="G14" i="4" s="1"/>
  <c r="M32" i="4"/>
  <c r="M34" i="4" s="1"/>
  <c r="E28" i="4"/>
  <c r="G28" i="4" s="1"/>
  <c r="E16" i="4"/>
  <c r="G16" i="4" s="1"/>
  <c r="E20" i="4"/>
  <c r="G20" i="4" s="1"/>
  <c r="D17" i="4"/>
  <c r="F17" i="4" s="1"/>
  <c r="D21" i="4"/>
  <c r="F21" i="4" s="1"/>
  <c r="D4" i="4"/>
  <c r="F4" i="4" s="1"/>
  <c r="D6" i="4"/>
  <c r="F6" i="4" s="1"/>
  <c r="D8" i="4"/>
  <c r="F8" i="4" s="1"/>
  <c r="D10" i="4"/>
  <c r="F10" i="4" s="1"/>
  <c r="D12" i="4"/>
  <c r="F12" i="4" s="1"/>
  <c r="D14" i="4"/>
  <c r="F14" i="4" s="1"/>
  <c r="D16" i="4"/>
  <c r="F16" i="4" s="1"/>
  <c r="I5" i="6" l="1"/>
  <c r="I14" i="6"/>
  <c r="I4" i="6"/>
  <c r="I19" i="6"/>
  <c r="I4" i="5"/>
  <c r="H8" i="5"/>
  <c r="I15" i="6"/>
  <c r="I12" i="6"/>
  <c r="I20" i="6"/>
  <c r="H10" i="5"/>
  <c r="I8" i="5"/>
  <c r="I7" i="6"/>
  <c r="I10" i="6"/>
  <c r="I13" i="6"/>
  <c r="H13" i="5"/>
  <c r="I17" i="6"/>
  <c r="I6" i="6"/>
  <c r="I9" i="6"/>
  <c r="H12" i="5"/>
  <c r="H6" i="5"/>
  <c r="H17" i="5"/>
  <c r="H18" i="5"/>
  <c r="H19" i="5"/>
  <c r="I9" i="5"/>
  <c r="I7" i="5"/>
  <c r="I15" i="5"/>
  <c r="I20" i="5"/>
  <c r="I18" i="5"/>
  <c r="I11" i="5"/>
  <c r="I19" i="5"/>
  <c r="I5" i="5"/>
  <c r="I17" i="5"/>
  <c r="I13" i="5"/>
  <c r="I6" i="5"/>
  <c r="H9" i="5"/>
  <c r="I12" i="5"/>
  <c r="H16" i="5"/>
  <c r="H15" i="5"/>
  <c r="H11" i="5"/>
  <c r="H5" i="5"/>
  <c r="H7" i="5"/>
  <c r="H14" i="5"/>
  <c r="I16" i="5"/>
  <c r="M22" i="6"/>
  <c r="M24" i="6"/>
  <c r="I11" i="6"/>
  <c r="I16" i="6"/>
  <c r="I8" i="6"/>
  <c r="I18" i="6"/>
  <c r="M24" i="4"/>
  <c r="M22" i="4"/>
  <c r="H21" i="4" s="1"/>
  <c r="M23" i="4"/>
  <c r="I6" i="4" s="1"/>
  <c r="M26" i="5" l="1"/>
  <c r="M25" i="5"/>
  <c r="M29" i="5" s="1"/>
  <c r="M33" i="5" s="1"/>
  <c r="M26" i="6"/>
  <c r="H17" i="6"/>
  <c r="H5" i="6"/>
  <c r="H13" i="6"/>
  <c r="H7" i="6"/>
  <c r="H15" i="6"/>
  <c r="H9" i="6"/>
  <c r="H19" i="6"/>
  <c r="H18" i="6"/>
  <c r="H11" i="6"/>
  <c r="H12" i="6"/>
  <c r="H8" i="6"/>
  <c r="H4" i="6"/>
  <c r="H6" i="6"/>
  <c r="H16" i="6"/>
  <c r="H14" i="6"/>
  <c r="H10" i="6"/>
  <c r="I13" i="4"/>
  <c r="I14" i="4"/>
  <c r="I10" i="4"/>
  <c r="I5" i="4"/>
  <c r="I27" i="4"/>
  <c r="I9" i="4"/>
  <c r="I23" i="4"/>
  <c r="I19" i="4"/>
  <c r="H5" i="4"/>
  <c r="H13" i="4"/>
  <c r="H9" i="4"/>
  <c r="H11" i="4"/>
  <c r="H15" i="4"/>
  <c r="H19" i="4"/>
  <c r="H20" i="4"/>
  <c r="H18" i="4"/>
  <c r="H7" i="4"/>
  <c r="H10" i="4"/>
  <c r="I22" i="4"/>
  <c r="I28" i="4"/>
  <c r="I18" i="4"/>
  <c r="I17" i="4"/>
  <c r="H4" i="4"/>
  <c r="H6" i="4"/>
  <c r="H17" i="4"/>
  <c r="H14" i="4"/>
  <c r="H8" i="4"/>
  <c r="I4" i="4"/>
  <c r="I12" i="4"/>
  <c r="I8" i="4"/>
  <c r="I24" i="4"/>
  <c r="I15" i="4"/>
  <c r="I21" i="4"/>
  <c r="I16" i="4"/>
  <c r="I26" i="4"/>
  <c r="I25" i="4"/>
  <c r="I11" i="4"/>
  <c r="I20" i="4"/>
  <c r="H12" i="4"/>
  <c r="I7" i="4"/>
  <c r="H16" i="4"/>
  <c r="M20" i="3"/>
  <c r="M21" i="3"/>
  <c r="E6" i="3"/>
  <c r="G6" i="3" s="1"/>
  <c r="D5" i="3"/>
  <c r="F5" i="3" s="1"/>
  <c r="M18" i="3"/>
  <c r="M17" i="3"/>
  <c r="M16" i="3"/>
  <c r="M31" i="3" s="1"/>
  <c r="M25" i="6" l="1"/>
  <c r="M29" i="6" s="1"/>
  <c r="M33" i="6" s="1"/>
  <c r="M25" i="4"/>
  <c r="M26" i="4"/>
  <c r="E17" i="3"/>
  <c r="G17" i="3" s="1"/>
  <c r="E25" i="3"/>
  <c r="G25" i="3" s="1"/>
  <c r="E9" i="3"/>
  <c r="G9" i="3" s="1"/>
  <c r="E4" i="3"/>
  <c r="G4" i="3" s="1"/>
  <c r="E13" i="3"/>
  <c r="G13" i="3" s="1"/>
  <c r="E21" i="3"/>
  <c r="G21" i="3" s="1"/>
  <c r="E5" i="3"/>
  <c r="G5" i="3" s="1"/>
  <c r="D16" i="3"/>
  <c r="F16" i="3" s="1"/>
  <c r="D12" i="3"/>
  <c r="F12" i="3" s="1"/>
  <c r="D8" i="3"/>
  <c r="F8" i="3" s="1"/>
  <c r="D19" i="3"/>
  <c r="F19" i="3" s="1"/>
  <c r="D11" i="3"/>
  <c r="F11" i="3" s="1"/>
  <c r="E28" i="3"/>
  <c r="G28" i="3" s="1"/>
  <c r="E20" i="3"/>
  <c r="G20" i="3" s="1"/>
  <c r="E16" i="3"/>
  <c r="G16" i="3" s="1"/>
  <c r="E8" i="3"/>
  <c r="G8" i="3" s="1"/>
  <c r="D14" i="3"/>
  <c r="F14" i="3" s="1"/>
  <c r="D10" i="3"/>
  <c r="F10" i="3" s="1"/>
  <c r="D6" i="3"/>
  <c r="F6" i="3" s="1"/>
  <c r="E27" i="3"/>
  <c r="G27" i="3" s="1"/>
  <c r="E23" i="3"/>
  <c r="G23" i="3" s="1"/>
  <c r="E19" i="3"/>
  <c r="G19" i="3" s="1"/>
  <c r="E15" i="3"/>
  <c r="G15" i="3" s="1"/>
  <c r="E11" i="3"/>
  <c r="G11" i="3" s="1"/>
  <c r="E7" i="3"/>
  <c r="G7" i="3" s="1"/>
  <c r="D20" i="3"/>
  <c r="F20" i="3" s="1"/>
  <c r="D15" i="3"/>
  <c r="F15" i="3" s="1"/>
  <c r="D7" i="3"/>
  <c r="F7" i="3" s="1"/>
  <c r="E24" i="3"/>
  <c r="G24" i="3" s="1"/>
  <c r="E12" i="3"/>
  <c r="G12" i="3" s="1"/>
  <c r="D4" i="3"/>
  <c r="F4" i="3" s="1"/>
  <c r="D18" i="3"/>
  <c r="F18" i="3" s="1"/>
  <c r="M19" i="3"/>
  <c r="D21" i="3"/>
  <c r="F21" i="3" s="1"/>
  <c r="D17" i="3"/>
  <c r="F17" i="3" s="1"/>
  <c r="D13" i="3"/>
  <c r="F13" i="3" s="1"/>
  <c r="D9" i="3"/>
  <c r="F9" i="3" s="1"/>
  <c r="E26" i="3"/>
  <c r="G26" i="3" s="1"/>
  <c r="E22" i="3"/>
  <c r="G22" i="3" s="1"/>
  <c r="E18" i="3"/>
  <c r="G18" i="3" s="1"/>
  <c r="E14" i="3"/>
  <c r="G14" i="3" s="1"/>
  <c r="E10" i="3"/>
  <c r="G10" i="3" s="1"/>
  <c r="M24" i="3" l="1"/>
  <c r="M29" i="4"/>
  <c r="M33" i="4" s="1"/>
  <c r="M32" i="3"/>
  <c r="M34" i="3" s="1"/>
  <c r="M23" i="3"/>
  <c r="I6" i="3" s="1"/>
  <c r="M22" i="3"/>
  <c r="I24" i="3" l="1"/>
  <c r="I15" i="3"/>
  <c r="I19" i="3"/>
  <c r="I23" i="3"/>
  <c r="I10" i="3"/>
  <c r="I22" i="3"/>
  <c r="I5" i="3"/>
  <c r="I7" i="3"/>
  <c r="I16" i="3"/>
  <c r="I8" i="3"/>
  <c r="I28" i="3"/>
  <c r="I14" i="3"/>
  <c r="I21" i="3"/>
  <c r="I11" i="3"/>
  <c r="I12" i="3"/>
  <c r="I25" i="3"/>
  <c r="I9" i="3"/>
  <c r="I18" i="3"/>
  <c r="I26" i="3"/>
  <c r="I17" i="3"/>
  <c r="I13" i="3"/>
  <c r="I20" i="3"/>
  <c r="I27" i="3"/>
  <c r="I4" i="3"/>
  <c r="H5" i="3"/>
  <c r="H16" i="3"/>
  <c r="H18" i="3"/>
  <c r="H20" i="3"/>
  <c r="H11" i="3"/>
  <c r="H15" i="3"/>
  <c r="H7" i="3"/>
  <c r="H19" i="3"/>
  <c r="H12" i="3"/>
  <c r="H10" i="3"/>
  <c r="H6" i="3"/>
  <c r="H14" i="3"/>
  <c r="H9" i="3"/>
  <c r="H21" i="3"/>
  <c r="H4" i="3"/>
  <c r="H8" i="3"/>
  <c r="H17" i="3"/>
  <c r="H13" i="3"/>
  <c r="G42" i="2"/>
  <c r="J33" i="2"/>
  <c r="J32" i="2"/>
  <c r="L27" i="2"/>
  <c r="G25" i="2"/>
  <c r="G19" i="2"/>
  <c r="L8" i="2" s="1"/>
  <c r="G18" i="2"/>
  <c r="G17" i="2"/>
  <c r="G24" i="2" s="1"/>
  <c r="G16" i="2"/>
  <c r="G23" i="2" s="1"/>
  <c r="L10" i="2"/>
  <c r="L9" i="2"/>
  <c r="G27" i="2" l="1"/>
  <c r="M26" i="3"/>
  <c r="M25" i="3"/>
  <c r="M29" i="3" s="1"/>
  <c r="M33" i="3" s="1"/>
  <c r="G26" i="2"/>
  <c r="G29" i="2" s="1"/>
  <c r="G21" i="2"/>
  <c r="G41" i="2" l="1"/>
  <c r="G37" i="2"/>
  <c r="G40" i="2"/>
  <c r="G39" i="2"/>
  <c r="G38" i="2"/>
</calcChain>
</file>

<file path=xl/sharedStrings.xml><?xml version="1.0" encoding="utf-8"?>
<sst xmlns="http://schemas.openxmlformats.org/spreadsheetml/2006/main" count="520" uniqueCount="233">
  <si>
    <t>Variable 1</t>
  </si>
  <si>
    <t>Variable 2</t>
  </si>
  <si>
    <t>Mean</t>
  </si>
  <si>
    <t>Variance</t>
  </si>
  <si>
    <t>Observations</t>
  </si>
  <si>
    <t>df</t>
  </si>
  <si>
    <t>F</t>
  </si>
  <si>
    <t>P(F&lt;=f) one-tail</t>
  </si>
  <si>
    <t>F Critical one-tail</t>
  </si>
  <si>
    <t>F-Test - 2 tail p-value =</t>
  </si>
  <si>
    <t>P(F&lt;=f) one-tail (this is the upper one-tail p-value) =</t>
  </si>
  <si>
    <t>2-tail p-value =</t>
  </si>
  <si>
    <t>Lower 1-tail p-value =</t>
  </si>
  <si>
    <t>Upper 1-tail p-value =</t>
  </si>
  <si>
    <t>Note: swap dfs for FL calculation</t>
  </si>
  <si>
    <t>For one tail calculations</t>
  </si>
  <si>
    <t>F-Test for Two Population Variances (Variance Ratio Test)</t>
  </si>
  <si>
    <r>
      <t xml:space="preserve">F-Test Two-Sample for Variances </t>
    </r>
    <r>
      <rPr>
        <sz val="11"/>
        <color rgb="FFFF0000"/>
        <rFont val="Calibri"/>
        <family val="2"/>
        <scheme val="minor"/>
      </rPr>
      <t>Method 3</t>
    </r>
  </si>
  <si>
    <t>Shop A</t>
  </si>
  <si>
    <t>Shop B</t>
  </si>
  <si>
    <t>Step 1 - Hypothesis Test</t>
  </si>
  <si>
    <t>How did Data Analysis Ad-In calculate the formulae?</t>
  </si>
  <si>
    <r>
      <t>H</t>
    </r>
    <r>
      <rPr>
        <vertAlign val="subscript"/>
        <sz val="12"/>
        <rFont val="Calibri"/>
        <family val="2"/>
        <scheme val="minor"/>
      </rPr>
      <t>0</t>
    </r>
    <r>
      <rPr>
        <sz val="12"/>
        <rFont val="Calibri"/>
        <family val="2"/>
        <scheme val="minor"/>
      </rPr>
      <t>: Variance A = Variance B</t>
    </r>
  </si>
  <si>
    <r>
      <t>H</t>
    </r>
    <r>
      <rPr>
        <vertAlign val="sub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>: Variance A not equal to Variance B</t>
    </r>
  </si>
  <si>
    <t>Step 2 - Select Test</t>
  </si>
  <si>
    <t>Two tail test</t>
  </si>
  <si>
    <t>=G19^2/G18^2</t>
  </si>
  <si>
    <t>F Test for variances</t>
  </si>
  <si>
    <t>=F.DIST.RT(J8,J7,K7)</t>
  </si>
  <si>
    <t>Populations normally distributed</t>
  </si>
  <si>
    <t>=F.INV.RT(G13,J7,K7)</t>
  </si>
  <si>
    <t>alpha=</t>
  </si>
  <si>
    <t>Step 3 - Select level of significance</t>
  </si>
  <si>
    <r>
      <t>Significance level α</t>
    </r>
    <r>
      <rPr>
        <sz val="9.6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=</t>
    </r>
  </si>
  <si>
    <t>Step 4 - Extract relevant statistic</t>
  </si>
  <si>
    <r>
      <t>n</t>
    </r>
    <r>
      <rPr>
        <vertAlign val="subscript"/>
        <sz val="12"/>
        <rFont val="Calibri"/>
        <family val="2"/>
        <scheme val="minor"/>
      </rPr>
      <t>A</t>
    </r>
    <r>
      <rPr>
        <sz val="12"/>
        <rFont val="Calibri"/>
        <family val="2"/>
        <scheme val="minor"/>
      </rPr>
      <t xml:space="preserve"> =</t>
    </r>
  </si>
  <si>
    <t>=COUNT(B4:B21)</t>
  </si>
  <si>
    <r>
      <t>n</t>
    </r>
    <r>
      <rPr>
        <vertAlign val="subscript"/>
        <sz val="12"/>
        <rFont val="Calibri"/>
        <family val="2"/>
        <scheme val="minor"/>
      </rPr>
      <t>B</t>
    </r>
    <r>
      <rPr>
        <sz val="12"/>
        <rFont val="Calibri"/>
        <family val="2"/>
        <scheme val="minor"/>
      </rPr>
      <t xml:space="preserve"> =</t>
    </r>
  </si>
  <si>
    <t>=COUNT(C4:C28)</t>
  </si>
  <si>
    <r>
      <t>s</t>
    </r>
    <r>
      <rPr>
        <vertAlign val="subscript"/>
        <sz val="12"/>
        <rFont val="Calibri"/>
        <family val="2"/>
        <scheme val="minor"/>
      </rPr>
      <t>A</t>
    </r>
    <r>
      <rPr>
        <sz val="12"/>
        <rFont val="Calibri"/>
        <family val="2"/>
        <scheme val="minor"/>
      </rPr>
      <t xml:space="preserve"> =</t>
    </r>
  </si>
  <si>
    <t>=STDEV.S(B4:B21)</t>
  </si>
  <si>
    <r>
      <t>s</t>
    </r>
    <r>
      <rPr>
        <vertAlign val="subscript"/>
        <sz val="12"/>
        <rFont val="Calibri"/>
        <family val="2"/>
        <scheme val="minor"/>
      </rPr>
      <t>B</t>
    </r>
    <r>
      <rPr>
        <sz val="12"/>
        <rFont val="Calibri"/>
        <family val="2"/>
        <scheme val="minor"/>
      </rPr>
      <t xml:space="preserve"> =</t>
    </r>
  </si>
  <si>
    <t>=STDEV.S(C4:C28)</t>
  </si>
  <si>
    <r>
      <t>F</t>
    </r>
    <r>
      <rPr>
        <vertAlign val="subscript"/>
        <sz val="12"/>
        <rFont val="Calibri"/>
        <family val="2"/>
        <scheme val="minor"/>
      </rPr>
      <t>cal</t>
    </r>
    <r>
      <rPr>
        <sz val="12"/>
        <rFont val="Calibri"/>
        <family val="2"/>
        <scheme val="minor"/>
      </rPr>
      <t xml:space="preserve"> =</t>
    </r>
  </si>
  <si>
    <t>P-value and critical test statistic</t>
  </si>
  <si>
    <r>
      <t>df</t>
    </r>
    <r>
      <rPr>
        <vertAlign val="subscript"/>
        <sz val="12"/>
        <rFont val="Calibri"/>
        <family val="2"/>
        <scheme val="minor"/>
      </rPr>
      <t>A</t>
    </r>
    <r>
      <rPr>
        <sz val="12"/>
        <rFont val="Calibri"/>
        <family val="2"/>
        <scheme val="minor"/>
      </rPr>
      <t xml:space="preserve"> =</t>
    </r>
  </si>
  <si>
    <t>=G16-1</t>
  </si>
  <si>
    <r>
      <t>df</t>
    </r>
    <r>
      <rPr>
        <vertAlign val="subscript"/>
        <sz val="12"/>
        <rFont val="Calibri"/>
        <family val="2"/>
        <scheme val="minor"/>
      </rPr>
      <t>B</t>
    </r>
    <r>
      <rPr>
        <sz val="12"/>
        <rFont val="Calibri"/>
        <family val="2"/>
        <scheme val="minor"/>
      </rPr>
      <t xml:space="preserve"> =</t>
    </r>
  </si>
  <si>
    <t>=G17-1</t>
  </si>
  <si>
    <t>Method 1:</t>
  </si>
  <si>
    <t>Two tail P-value =</t>
  </si>
  <si>
    <t>=F.TEST(B4:B21,C4:C28)</t>
  </si>
  <si>
    <t>Method 2:</t>
  </si>
  <si>
    <r>
      <t>F</t>
    </r>
    <r>
      <rPr>
        <vertAlign val="subscript"/>
        <sz val="12"/>
        <rFont val="Calibri"/>
        <family val="2"/>
        <scheme val="minor"/>
      </rPr>
      <t>U</t>
    </r>
    <r>
      <rPr>
        <sz val="12"/>
        <rFont val="Calibri"/>
        <family val="2"/>
        <scheme val="minor"/>
      </rPr>
      <t xml:space="preserve"> = upper two tail F</t>
    </r>
    <r>
      <rPr>
        <vertAlign val="subscript"/>
        <sz val="12"/>
        <rFont val="Calibri"/>
        <family val="2"/>
        <scheme val="minor"/>
      </rPr>
      <t>cri</t>
    </r>
    <r>
      <rPr>
        <sz val="12"/>
        <rFont val="Calibri"/>
        <family val="2"/>
        <scheme val="minor"/>
      </rPr>
      <t xml:space="preserve"> =</t>
    </r>
  </si>
  <si>
    <t>=F.INV.RT(G13/2,G24,G23)</t>
  </si>
  <si>
    <r>
      <t>F</t>
    </r>
    <r>
      <rPr>
        <vertAlign val="subscript"/>
        <sz val="12"/>
        <rFont val="Calibri"/>
        <family val="2"/>
        <scheme val="minor"/>
      </rPr>
      <t>L</t>
    </r>
    <r>
      <rPr>
        <sz val="12"/>
        <rFont val="Calibri"/>
        <family val="2"/>
        <scheme val="minor"/>
      </rPr>
      <t xml:space="preserve"> = lower two tail F</t>
    </r>
    <r>
      <rPr>
        <vertAlign val="subscript"/>
        <sz val="12"/>
        <rFont val="Calibri"/>
        <family val="2"/>
        <scheme val="minor"/>
      </rPr>
      <t>cri</t>
    </r>
    <r>
      <rPr>
        <sz val="12"/>
        <rFont val="Calibri"/>
        <family val="2"/>
        <scheme val="minor"/>
      </rPr>
      <t xml:space="preserve"> =</t>
    </r>
  </si>
  <si>
    <t>=F.INV(G13/2,G23,G24)</t>
  </si>
  <si>
    <t>Step 5 - Make a decision</t>
  </si>
  <si>
    <r>
      <t>Since P-value &gt; α, Accept H</t>
    </r>
    <r>
      <rPr>
        <vertAlign val="subscript"/>
        <sz val="12"/>
        <rFont val="Calibri"/>
        <family val="2"/>
        <scheme val="minor"/>
      </rPr>
      <t>0</t>
    </r>
    <r>
      <rPr>
        <sz val="12"/>
        <rFont val="Times New Roman"/>
        <family val="1"/>
      </rPr>
      <t/>
    </r>
  </si>
  <si>
    <t>G25=0.08245 &gt; G13=0.05</t>
  </si>
  <si>
    <r>
      <t>Decision: Since F</t>
    </r>
    <r>
      <rPr>
        <vertAlign val="subscript"/>
        <sz val="12"/>
        <rFont val="Calibri"/>
        <family val="2"/>
        <scheme val="minor"/>
      </rPr>
      <t>cal</t>
    </r>
    <r>
      <rPr>
        <sz val="12"/>
        <rFont val="Calibri"/>
        <family val="2"/>
        <scheme val="minor"/>
      </rPr>
      <t xml:space="preserve"> &lt; F</t>
    </r>
    <r>
      <rPr>
        <vertAlign val="subscript"/>
        <sz val="12"/>
        <rFont val="Calibri"/>
        <family val="2"/>
        <scheme val="minor"/>
      </rPr>
      <t>cri</t>
    </r>
    <r>
      <rPr>
        <sz val="12"/>
        <rFont val="Calibri"/>
        <family val="2"/>
        <scheme val="minor"/>
      </rPr>
      <t>, Accept H</t>
    </r>
    <r>
      <rPr>
        <vertAlign val="subscript"/>
        <sz val="12"/>
        <rFont val="Calibri"/>
        <family val="2"/>
        <scheme val="minor"/>
      </rPr>
      <t>0</t>
    </r>
  </si>
  <si>
    <t>G21 = 2.291 &lt; G26 = 2.560</t>
  </si>
  <si>
    <t>=2*J9</t>
  </si>
  <si>
    <r>
      <t>If S</t>
    </r>
    <r>
      <rPr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&gt; S</t>
    </r>
    <r>
      <rPr>
        <vertAlign val="sub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, then S</t>
    </r>
    <r>
      <rPr>
        <vertAlign val="subscript"/>
        <sz val="12"/>
        <color theme="1"/>
        <rFont val="Calibri"/>
        <family val="2"/>
        <scheme val="minor"/>
      </rPr>
      <t>largest</t>
    </r>
    <r>
      <rPr>
        <sz val="12"/>
        <color theme="1"/>
        <rFont val="Calibri"/>
        <family val="2"/>
        <scheme val="minor"/>
      </rPr>
      <t xml:space="preserve"> = S</t>
    </r>
    <r>
      <rPr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and S</t>
    </r>
    <r>
      <rPr>
        <vertAlign val="subscript"/>
        <sz val="12"/>
        <color theme="1"/>
        <rFont val="Calibri"/>
        <family val="2"/>
        <scheme val="minor"/>
      </rPr>
      <t>smallest</t>
    </r>
    <r>
      <rPr>
        <sz val="12"/>
        <color theme="1"/>
        <rFont val="Calibri"/>
        <family val="2"/>
        <scheme val="minor"/>
      </rPr>
      <t xml:space="preserve"> = S</t>
    </r>
    <r>
      <rPr>
        <vertAlign val="sub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, n</t>
    </r>
    <r>
      <rPr>
        <vertAlign val="subscript"/>
        <sz val="12"/>
        <color theme="1"/>
        <rFont val="Calibri"/>
        <family val="2"/>
        <scheme val="minor"/>
      </rPr>
      <t>largest</t>
    </r>
    <r>
      <rPr>
        <sz val="12"/>
        <color theme="1"/>
        <rFont val="Calibri"/>
        <family val="2"/>
        <scheme val="minor"/>
      </rPr>
      <t xml:space="preserve"> = n</t>
    </r>
    <r>
      <rPr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and n</t>
    </r>
    <r>
      <rPr>
        <vertAlign val="subscript"/>
        <sz val="12"/>
        <color theme="1"/>
        <rFont val="Calibri"/>
        <family val="2"/>
        <scheme val="minor"/>
      </rPr>
      <t>smallest</t>
    </r>
    <r>
      <rPr>
        <sz val="12"/>
        <color theme="1"/>
        <rFont val="Calibri"/>
        <family val="2"/>
        <scheme val="minor"/>
      </rPr>
      <t xml:space="preserve"> = n</t>
    </r>
    <r>
      <rPr>
        <vertAlign val="subscript"/>
        <sz val="12"/>
        <color theme="1"/>
        <rFont val="Calibri"/>
        <family val="2"/>
        <scheme val="minor"/>
      </rPr>
      <t>B</t>
    </r>
  </si>
  <si>
    <r>
      <t>If S</t>
    </r>
    <r>
      <rPr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&lt; S</t>
    </r>
    <r>
      <rPr>
        <vertAlign val="sub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>, then S</t>
    </r>
    <r>
      <rPr>
        <vertAlign val="subscript"/>
        <sz val="12"/>
        <color theme="1"/>
        <rFont val="Calibri"/>
        <family val="2"/>
        <scheme val="minor"/>
      </rPr>
      <t>largest</t>
    </r>
    <r>
      <rPr>
        <sz val="12"/>
        <color theme="1"/>
        <rFont val="Calibri"/>
        <family val="2"/>
        <scheme val="minor"/>
      </rPr>
      <t xml:space="preserve"> = SB and S</t>
    </r>
    <r>
      <rPr>
        <vertAlign val="subscript"/>
        <sz val="12"/>
        <color theme="1"/>
        <rFont val="Calibri"/>
        <family val="2"/>
        <scheme val="minor"/>
      </rPr>
      <t>smallest</t>
    </r>
    <r>
      <rPr>
        <sz val="12"/>
        <color theme="1"/>
        <rFont val="Calibri"/>
        <family val="2"/>
        <scheme val="minor"/>
      </rPr>
      <t xml:space="preserve"> = S</t>
    </r>
    <r>
      <rPr>
        <vertAlign val="subscript"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>, n</t>
    </r>
    <r>
      <rPr>
        <vertAlign val="subscript"/>
        <sz val="12"/>
        <color theme="1"/>
        <rFont val="Calibri"/>
        <family val="2"/>
        <scheme val="minor"/>
      </rPr>
      <t xml:space="preserve">largest </t>
    </r>
    <r>
      <rPr>
        <sz val="12"/>
        <color theme="1"/>
        <rFont val="Calibri"/>
        <family val="2"/>
        <scheme val="minor"/>
      </rPr>
      <t>= n</t>
    </r>
    <r>
      <rPr>
        <vertAlign val="subscript"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and n</t>
    </r>
    <r>
      <rPr>
        <vertAlign val="subscript"/>
        <sz val="12"/>
        <color theme="1"/>
        <rFont val="Calibri"/>
        <family val="2"/>
        <scheme val="minor"/>
      </rPr>
      <t>smallest</t>
    </r>
    <r>
      <rPr>
        <sz val="12"/>
        <color theme="1"/>
        <rFont val="Calibri"/>
        <family val="2"/>
        <scheme val="minor"/>
      </rPr>
      <t xml:space="preserve"> = n</t>
    </r>
    <r>
      <rPr>
        <vertAlign val="subscript"/>
        <sz val="12"/>
        <color theme="1"/>
        <rFont val="Calibri"/>
        <family val="2"/>
        <scheme val="minor"/>
      </rPr>
      <t>A</t>
    </r>
  </si>
  <si>
    <r>
      <t>Given S</t>
    </r>
    <r>
      <rPr>
        <vertAlign val="subscript"/>
        <sz val="12"/>
        <color rgb="FFFF0000"/>
        <rFont val="Calibri"/>
        <family val="2"/>
        <scheme val="minor"/>
      </rPr>
      <t>B</t>
    </r>
    <r>
      <rPr>
        <sz val="12"/>
        <color rgb="FFFF0000"/>
        <rFont val="Calibri"/>
        <family val="2"/>
        <scheme val="minor"/>
      </rPr>
      <t xml:space="preserve"> &gt; S</t>
    </r>
    <r>
      <rPr>
        <vertAlign val="subscript"/>
        <sz val="12"/>
        <color rgb="FFFF0000"/>
        <rFont val="Calibri"/>
        <family val="2"/>
        <scheme val="minor"/>
      </rPr>
      <t>A</t>
    </r>
    <r>
      <rPr>
        <sz val="12"/>
        <color rgb="FFFF0000"/>
        <rFont val="Calibri"/>
        <family val="2"/>
        <scheme val="minor"/>
      </rPr>
      <t>, then Slargest = S</t>
    </r>
    <r>
      <rPr>
        <vertAlign val="subscript"/>
        <sz val="12"/>
        <color rgb="FFFF0000"/>
        <rFont val="Calibri"/>
        <family val="2"/>
        <scheme val="minor"/>
      </rPr>
      <t>B</t>
    </r>
    <r>
      <rPr>
        <sz val="12"/>
        <color rgb="FFFF0000"/>
        <rFont val="Calibri"/>
        <family val="2"/>
        <scheme val="minor"/>
      </rPr>
      <t>, Ssmallest=S</t>
    </r>
    <r>
      <rPr>
        <vertAlign val="subscript"/>
        <sz val="12"/>
        <color rgb="FFFF0000"/>
        <rFont val="Calibri"/>
        <family val="2"/>
        <scheme val="minor"/>
      </rPr>
      <t>A</t>
    </r>
  </si>
  <si>
    <r>
      <t>In this example, S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 xml:space="preserve"> &gt; S</t>
    </r>
    <r>
      <rPr>
        <vertAlign val="subscript"/>
        <sz val="11"/>
        <color theme="1"/>
        <rFont val="Calibri"/>
        <family val="2"/>
        <scheme val="minor"/>
      </rPr>
      <t>A</t>
    </r>
  </si>
  <si>
    <t>=1/G26</t>
  </si>
  <si>
    <t>or for two-tail test, FL =</t>
  </si>
  <si>
    <t>Using Excel functions</t>
  </si>
  <si>
    <t>=FDIST(G21,G24,G23)</t>
  </si>
  <si>
    <t>=1-F.DIST(G21,G24,G23,TRUE)</t>
  </si>
  <si>
    <t>=F.DIST.RT(G21,G24,G23)</t>
  </si>
  <si>
    <t>=2*(1-F.DIST(G21,G24,G23,TRUE))</t>
  </si>
  <si>
    <t>=2*F.DIST.RT(G21,G24,G23)</t>
  </si>
  <si>
    <t>=F.TEST(C4:C28,B4:B21)</t>
  </si>
  <si>
    <t>Upper 1-tail critical F =</t>
  </si>
  <si>
    <t>Populations not normally distributed</t>
  </si>
  <si>
    <t>Levene's F Test for variances: Median method</t>
  </si>
  <si>
    <t>Mean A =</t>
  </si>
  <si>
    <t>Mean B =</t>
  </si>
  <si>
    <t>nA =</t>
  </si>
  <si>
    <t>nB =</t>
  </si>
  <si>
    <t>N =</t>
  </si>
  <si>
    <t>F =</t>
  </si>
  <si>
    <t>Levene's test for equality of variances</t>
  </si>
  <si>
    <t>Calculation of test statistics and critical values</t>
  </si>
  <si>
    <t>df1 =</t>
  </si>
  <si>
    <t>df2 =</t>
  </si>
  <si>
    <t>k =</t>
  </si>
  <si>
    <t>ZA = Shop A - Mean A</t>
  </si>
  <si>
    <t>ZB =Shop B - Mean B</t>
  </si>
  <si>
    <r>
      <rPr>
        <sz val="12"/>
        <rFont val="Symbol"/>
        <family val="1"/>
        <charset val="2"/>
      </rPr>
      <t>ôZ</t>
    </r>
    <r>
      <rPr>
        <sz val="9"/>
        <rFont val="Calibri"/>
        <family val="2"/>
      </rPr>
      <t>A</t>
    </r>
    <r>
      <rPr>
        <sz val="9"/>
        <rFont val="Symbol"/>
        <family val="1"/>
        <charset val="2"/>
      </rPr>
      <t>ô</t>
    </r>
  </si>
  <si>
    <r>
      <rPr>
        <sz val="12"/>
        <rFont val="Symbol"/>
        <family val="1"/>
        <charset val="2"/>
      </rPr>
      <t>ôZ</t>
    </r>
    <r>
      <rPr>
        <sz val="9"/>
        <rFont val="Calibri"/>
        <family val="2"/>
      </rPr>
      <t>B</t>
    </r>
    <r>
      <rPr>
        <sz val="9"/>
        <rFont val="Symbol"/>
        <family val="1"/>
        <charset val="2"/>
      </rPr>
      <t>ô</t>
    </r>
  </si>
  <si>
    <t>(ZA - mean ZA)^2</t>
  </si>
  <si>
    <t>(ZB - mean ZB)^2</t>
  </si>
  <si>
    <t>ZA average =</t>
  </si>
  <si>
    <t>ZB average =</t>
  </si>
  <si>
    <t>Z average =</t>
  </si>
  <si>
    <r>
      <rPr>
        <sz val="12"/>
        <rFont val="Symbol"/>
        <family val="1"/>
        <charset val="2"/>
      </rPr>
      <t>å</t>
    </r>
    <r>
      <rPr>
        <sz val="9"/>
        <rFont val="Calibri"/>
        <family val="2"/>
      </rPr>
      <t>(ZA - ZAmean)^2 =</t>
    </r>
  </si>
  <si>
    <r>
      <rPr>
        <sz val="12"/>
        <rFont val="Symbol"/>
        <family val="1"/>
        <charset val="2"/>
      </rPr>
      <t>å</t>
    </r>
    <r>
      <rPr>
        <sz val="9"/>
        <rFont val="Calibri"/>
        <family val="2"/>
      </rPr>
      <t>(ZB - ZBmean)^2 =</t>
    </r>
  </si>
  <si>
    <t>=COUNTA(B3:C3)</t>
  </si>
  <si>
    <t>=M17+M18</t>
  </si>
  <si>
    <t>=AVERAGE(B4:B21)</t>
  </si>
  <si>
    <t>=AVERAGE(C4:C28)</t>
  </si>
  <si>
    <t>=AVERAGE(F4:F21)</t>
  </si>
  <si>
    <t>=AVERAGE(G4:G28)</t>
  </si>
  <si>
    <t>=SUM(H4:H21)</t>
  </si>
  <si>
    <t>=SUM(I4:I28)</t>
  </si>
  <si>
    <t>=((M19-M16)/(M16-1))*(M17*(M22-M24)^2+M18*(M23-M24)^2)/(M25+M26)</t>
  </si>
  <si>
    <t>=M16-1</t>
  </si>
  <si>
    <t>=M19-M16</t>
  </si>
  <si>
    <t>=F.INV.RT(M13,M31,M32)</t>
  </si>
  <si>
    <t>Critical F =</t>
  </si>
  <si>
    <t>=F.DIST.RT(M29,M31,M32)</t>
  </si>
  <si>
    <t>P-value =</t>
  </si>
  <si>
    <t>Given F (6.03) &gt; Critical F, reject H0</t>
  </si>
  <si>
    <t>Anova: Single Factor</t>
  </si>
  <si>
    <t>SUMMARY</t>
  </si>
  <si>
    <t>Groups</t>
  </si>
  <si>
    <t>Count</t>
  </si>
  <si>
    <t>Sum</t>
  </si>
  <si>
    <t>Average</t>
  </si>
  <si>
    <t>Column 1</t>
  </si>
  <si>
    <t>Column 2</t>
  </si>
  <si>
    <t>ANOVA</t>
  </si>
  <si>
    <t>Source of Variation</t>
  </si>
  <si>
    <t>SS</t>
  </si>
  <si>
    <t>MS</t>
  </si>
  <si>
    <t>P-value</t>
  </si>
  <si>
    <t>F crit</t>
  </si>
  <si>
    <t>Between Groups</t>
  </si>
  <si>
    <t>Within Groups</t>
  </si>
  <si>
    <t>Total</t>
  </si>
  <si>
    <t>=AVERAGE(F4:F21,G4:G28)</t>
  </si>
  <si>
    <t>Modified Levene's test for equality of variances - Brown-Forsythe test</t>
  </si>
  <si>
    <t>ZA = Shop A - Median A</t>
  </si>
  <si>
    <t>ZB =Shop B - Median B</t>
  </si>
  <si>
    <t>Median A =</t>
  </si>
  <si>
    <t>Median B =</t>
  </si>
  <si>
    <t>=MEDIAN(B4:B21)</t>
  </si>
  <si>
    <t>=MEDIAN(C4:C28)</t>
  </si>
  <si>
    <t>A</t>
  </si>
  <si>
    <t>B</t>
  </si>
  <si>
    <t>Example 2</t>
  </si>
  <si>
    <t>=MEDIAN(B4:B19)</t>
  </si>
  <si>
    <t>=MEDIAN(C4:C20)</t>
  </si>
  <si>
    <t>AE</t>
  </si>
  <si>
    <t>EM</t>
  </si>
  <si>
    <t>(a)</t>
  </si>
  <si>
    <t>Hypothesis</t>
  </si>
  <si>
    <r>
      <t>H</t>
    </r>
    <r>
      <rPr>
        <vertAlign val="subscript"/>
        <sz val="10"/>
        <rFont val="Calibri"/>
        <family val="2"/>
        <scheme val="minor"/>
      </rPr>
      <t>0</t>
    </r>
    <r>
      <rPr>
        <sz val="10"/>
        <rFont val="Calibri"/>
        <family val="2"/>
        <scheme val="minor"/>
      </rPr>
      <t>: Variance A = Variance B</t>
    </r>
  </si>
  <si>
    <r>
      <t>H</t>
    </r>
    <r>
      <rPr>
        <vertAlign val="subscript"/>
        <sz val="10"/>
        <rFont val="Calibri"/>
        <family val="2"/>
        <scheme val="minor"/>
      </rPr>
      <t>1</t>
    </r>
    <r>
      <rPr>
        <sz val="10"/>
        <rFont val="Calibri"/>
        <family val="2"/>
        <scheme val="minor"/>
      </rPr>
      <t>: Variance A not equal to Variance B</t>
    </r>
  </si>
  <si>
    <t>Select Test</t>
  </si>
  <si>
    <t>Set level of significance</t>
  </si>
  <si>
    <t>Significance level =</t>
  </si>
  <si>
    <t>Sig level =</t>
  </si>
  <si>
    <t>Alpha =</t>
  </si>
  <si>
    <t>=J9/2</t>
  </si>
  <si>
    <t>Extract relevant statistic</t>
  </si>
  <si>
    <r>
      <t>n</t>
    </r>
    <r>
      <rPr>
        <vertAlign val="subscript"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 xml:space="preserve"> =</t>
    </r>
  </si>
  <si>
    <t>=COUNT(B4:B20)</t>
  </si>
  <si>
    <r>
      <t>n</t>
    </r>
    <r>
      <rPr>
        <vertAlign val="sub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=</t>
    </r>
  </si>
  <si>
    <t>=COUNT(C4:C30)</t>
  </si>
  <si>
    <t>F-Test Two-Sample for Variances</t>
  </si>
  <si>
    <r>
      <t>s</t>
    </r>
    <r>
      <rPr>
        <vertAlign val="subscript"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 xml:space="preserve"> =</t>
    </r>
  </si>
  <si>
    <t>=STDEV.S(B4:B20)</t>
  </si>
  <si>
    <r>
      <t>s</t>
    </r>
    <r>
      <rPr>
        <vertAlign val="sub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=</t>
    </r>
  </si>
  <si>
    <t>=STDEV.S(C4:C30)</t>
  </si>
  <si>
    <r>
      <t>Using F = S</t>
    </r>
    <r>
      <rPr>
        <b/>
        <vertAlign val="subscript"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/S</t>
    </r>
    <r>
      <rPr>
        <b/>
        <vertAlign val="subscript"/>
        <sz val="11"/>
        <rFont val="Calibri"/>
        <family val="2"/>
        <scheme val="minor"/>
      </rPr>
      <t>B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given S</t>
    </r>
    <r>
      <rPr>
        <b/>
        <vertAlign val="subscript"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&gt; S</t>
    </r>
    <r>
      <rPr>
        <b/>
        <vertAlign val="subscript"/>
        <sz val="11"/>
        <rFont val="Calibri"/>
        <family val="2"/>
        <scheme val="minor"/>
      </rPr>
      <t>B</t>
    </r>
    <r>
      <rPr>
        <b/>
        <vertAlign val="superscript"/>
        <sz val="11"/>
        <rFont val="Calibri"/>
        <family val="2"/>
        <scheme val="minor"/>
      </rPr>
      <t>2</t>
    </r>
  </si>
  <si>
    <r>
      <t>F</t>
    </r>
    <r>
      <rPr>
        <vertAlign val="subscript"/>
        <sz val="10"/>
        <color rgb="FFFF0000"/>
        <rFont val="Calibri"/>
        <family val="2"/>
        <scheme val="minor"/>
      </rPr>
      <t>cal</t>
    </r>
    <r>
      <rPr>
        <sz val="10"/>
        <color rgb="FFFF0000"/>
        <rFont val="Calibri"/>
        <family val="2"/>
        <scheme val="minor"/>
      </rPr>
      <t xml:space="preserve"> =</t>
    </r>
  </si>
  <si>
    <t>=G13^2/G14^2</t>
  </si>
  <si>
    <t>P-value and critical F</t>
  </si>
  <si>
    <r>
      <t>df for largest variance = df</t>
    </r>
    <r>
      <rPr>
        <vertAlign val="subscript"/>
        <sz val="10"/>
        <rFont val="Calibri"/>
        <family val="2"/>
        <scheme val="minor"/>
      </rPr>
      <t>A</t>
    </r>
    <r>
      <rPr>
        <sz val="10"/>
        <rFont val="Calibri"/>
        <family val="2"/>
        <scheme val="minor"/>
      </rPr>
      <t xml:space="preserve"> =</t>
    </r>
  </si>
  <si>
    <t>=G11-1</t>
  </si>
  <si>
    <r>
      <t>df for smallest variance = df</t>
    </r>
    <r>
      <rPr>
        <vertAlign val="subscript"/>
        <sz val="10"/>
        <rFont val="Calibri"/>
        <family val="2"/>
        <scheme val="minor"/>
      </rPr>
      <t>B</t>
    </r>
    <r>
      <rPr>
        <sz val="10"/>
        <rFont val="Calibri"/>
        <family val="2"/>
        <scheme val="minor"/>
      </rPr>
      <t xml:space="preserve"> =</t>
    </r>
  </si>
  <si>
    <t>=G12-1</t>
  </si>
  <si>
    <t>=2*F.DIST.RT(G16,G18,G19)</t>
  </si>
  <si>
    <t>Upper two tail Fcri =</t>
  </si>
  <si>
    <t>=F.INV.RT(G9/2,G18,G19)</t>
  </si>
  <si>
    <t>Lower two tail Fcri =</t>
  </si>
  <si>
    <t>=F.INV(G9/2,G19,G18)</t>
  </si>
  <si>
    <r>
      <t>or F</t>
    </r>
    <r>
      <rPr>
        <vertAlign val="subscript"/>
        <sz val="10"/>
        <rFont val="Calibri"/>
        <family val="2"/>
        <scheme val="minor"/>
      </rPr>
      <t>L</t>
    </r>
    <r>
      <rPr>
        <sz val="10"/>
        <rFont val="Calibri"/>
        <family val="2"/>
        <scheme val="minor"/>
      </rPr>
      <t xml:space="preserve"> =</t>
    </r>
  </si>
  <si>
    <t>=1/G21</t>
  </si>
  <si>
    <t>=J20*2</t>
  </si>
  <si>
    <t>Data analysis gives lower Fcri</t>
  </si>
  <si>
    <t>Decision:</t>
  </si>
  <si>
    <r>
      <t>5% - since F</t>
    </r>
    <r>
      <rPr>
        <vertAlign val="subscript"/>
        <sz val="10"/>
        <rFont val="Calibri"/>
        <family val="2"/>
        <scheme val="minor"/>
      </rPr>
      <t>cal</t>
    </r>
    <r>
      <rPr>
        <sz val="10"/>
        <rFont val="Calibri"/>
        <family val="2"/>
        <scheme val="minor"/>
      </rPr>
      <t xml:space="preserve"> &gt; Upper F</t>
    </r>
    <r>
      <rPr>
        <vertAlign val="subscript"/>
        <sz val="10"/>
        <rFont val="Calibri"/>
        <family val="2"/>
        <scheme val="minor"/>
      </rPr>
      <t>cri</t>
    </r>
    <r>
      <rPr>
        <sz val="10"/>
        <rFont val="Calibri"/>
        <family val="2"/>
        <scheme val="minor"/>
      </rPr>
      <t>, Accept H</t>
    </r>
    <r>
      <rPr>
        <vertAlign val="subscript"/>
        <sz val="10"/>
        <rFont val="Calibri"/>
        <family val="2"/>
        <scheme val="minor"/>
      </rPr>
      <t>1</t>
    </r>
  </si>
  <si>
    <t>(b)</t>
  </si>
  <si>
    <t>1% two tail P-value =</t>
  </si>
  <si>
    <t>1% Upper two tail Fcri =</t>
  </si>
  <si>
    <t>=F.INV.RT(G31/2,G18,G19)</t>
  </si>
  <si>
    <t>1% lower two tail Fcri =</t>
  </si>
  <si>
    <t>=F.INV(G31/2,G17,G18)</t>
  </si>
  <si>
    <t>=1/G33</t>
  </si>
  <si>
    <t>=J32/2</t>
  </si>
  <si>
    <r>
      <t>1% - since F</t>
    </r>
    <r>
      <rPr>
        <vertAlign val="subscript"/>
        <sz val="10"/>
        <rFont val="Calibri"/>
        <family val="2"/>
        <scheme val="minor"/>
      </rPr>
      <t>cal</t>
    </r>
    <r>
      <rPr>
        <sz val="10"/>
        <rFont val="Calibri"/>
        <family val="2"/>
        <scheme val="minor"/>
      </rPr>
      <t xml:space="preserve"> &lt; Upper F</t>
    </r>
    <r>
      <rPr>
        <vertAlign val="subscript"/>
        <sz val="10"/>
        <rFont val="Calibri"/>
        <family val="2"/>
        <scheme val="minor"/>
      </rPr>
      <t>cri</t>
    </r>
    <r>
      <rPr>
        <sz val="10"/>
        <rFont val="Calibri"/>
        <family val="2"/>
        <scheme val="minor"/>
      </rPr>
      <t>, Accept H</t>
    </r>
    <r>
      <rPr>
        <vertAlign val="subscript"/>
        <sz val="10"/>
        <rFont val="Calibri"/>
        <family val="2"/>
        <scheme val="minor"/>
      </rPr>
      <t>0</t>
    </r>
    <r>
      <rPr>
        <sz val="10"/>
        <rFont val="Calibri"/>
        <family val="2"/>
        <scheme val="minor"/>
      </rPr>
      <t xml:space="preserve"> [Borderline decision]</t>
    </r>
  </si>
  <si>
    <t>2 tail p-value =</t>
  </si>
  <si>
    <t>=2*J46</t>
  </si>
  <si>
    <t>Dept A</t>
  </si>
  <si>
    <t>Dept B</t>
  </si>
  <si>
    <r>
      <t>H</t>
    </r>
    <r>
      <rPr>
        <vertAlign val="subscript"/>
        <sz val="11"/>
        <rFont val="Calibri"/>
        <family val="2"/>
        <scheme val="minor"/>
      </rPr>
      <t>0</t>
    </r>
    <r>
      <rPr>
        <sz val="11"/>
        <rFont val="Calibri"/>
        <family val="2"/>
        <scheme val="minor"/>
      </rPr>
      <t>: Variance A = Variance B</t>
    </r>
  </si>
  <si>
    <r>
      <t>H</t>
    </r>
    <r>
      <rPr>
        <vertAlign val="sub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>: Variance A not equal to Variance B</t>
    </r>
  </si>
  <si>
    <r>
      <t>Using F = S</t>
    </r>
    <r>
      <rPr>
        <b/>
        <vertAlign val="subscript"/>
        <sz val="11"/>
        <rFont val="Calibri"/>
        <family val="2"/>
        <scheme val="minor"/>
      </rPr>
      <t>B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/S</t>
    </r>
    <r>
      <rPr>
        <b/>
        <vertAlign val="subscript"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given S</t>
    </r>
    <r>
      <rPr>
        <b/>
        <vertAlign val="subscript"/>
        <sz val="11"/>
        <rFont val="Calibri"/>
        <family val="2"/>
        <scheme val="minor"/>
      </rPr>
      <t>B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&gt; S</t>
    </r>
    <r>
      <rPr>
        <b/>
        <vertAlign val="subscript"/>
        <sz val="11"/>
        <rFont val="Calibri"/>
        <family val="2"/>
        <scheme val="minor"/>
      </rPr>
      <t>A</t>
    </r>
    <r>
      <rPr>
        <b/>
        <vertAlign val="superscript"/>
        <sz val="11"/>
        <rFont val="Calibri"/>
        <family val="2"/>
        <scheme val="minor"/>
      </rPr>
      <t>2</t>
    </r>
  </si>
  <si>
    <t>2 tail test</t>
  </si>
  <si>
    <r>
      <t>n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</si>
  <si>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t>=COUNT(B4:B17)</t>
  </si>
  <si>
    <r>
      <t>n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</si>
  <si>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t>=COUNT(C4:C12)</t>
  </si>
  <si>
    <r>
      <t>s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</si>
  <si>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t>=STDEV.S(B4:B17)</t>
  </si>
  <si>
    <r>
      <t>s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</si>
  <si>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t>=STDEV.S(C4:C12)</t>
  </si>
  <si>
    <r>
      <t>F</t>
    </r>
    <r>
      <rPr>
        <vertAlign val="subscript"/>
        <sz val="11"/>
        <color rgb="FFFF0000"/>
        <rFont val="Calibri"/>
        <family val="2"/>
        <scheme val="minor"/>
      </rPr>
      <t>cal</t>
    </r>
    <r>
      <rPr>
        <sz val="11"/>
        <color rgb="FFFF0000"/>
        <rFont val="Calibri"/>
        <family val="2"/>
        <scheme val="minor"/>
      </rPr>
      <t xml:space="preserve"> =</t>
    </r>
  </si>
  <si>
    <t>=G15^2/G14^2</t>
  </si>
  <si>
    <r>
      <t>df smallest variance = df</t>
    </r>
    <r>
      <rPr>
        <vertAlign val="subscript"/>
        <sz val="11"/>
        <rFont val="Calibri"/>
        <family val="2"/>
        <scheme val="minor"/>
      </rPr>
      <t>A</t>
    </r>
    <r>
      <rPr>
        <sz val="11"/>
        <rFont val="Calibri"/>
        <family val="2"/>
        <scheme val="minor"/>
      </rPr>
      <t xml:space="preserve"> =</t>
    </r>
  </si>
  <si>
    <r>
      <t>df largest variance df</t>
    </r>
    <r>
      <rPr>
        <vertAlign val="subscript"/>
        <sz val="11"/>
        <rFont val="Calibri"/>
        <family val="2"/>
        <scheme val="minor"/>
      </rPr>
      <t>B</t>
    </r>
    <r>
      <rPr>
        <sz val="11"/>
        <rFont val="Calibri"/>
        <family val="2"/>
        <scheme val="minor"/>
      </rPr>
      <t xml:space="preserve"> =</t>
    </r>
  </si>
  <si>
    <t>=G13-1</t>
  </si>
  <si>
    <t>Two tail</t>
  </si>
  <si>
    <t>=J15*2</t>
  </si>
  <si>
    <t>=F.TEST(B4:B17,C4:C12)</t>
  </si>
  <si>
    <t>=F.INV.RT(G10/2,G19,G18)</t>
  </si>
  <si>
    <r>
      <t>Lower two tail F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 xml:space="preserve"> =</t>
    </r>
  </si>
  <si>
    <r>
      <t>Since F</t>
    </r>
    <r>
      <rPr>
        <vertAlign val="subscript"/>
        <sz val="11"/>
        <rFont val="Calibri"/>
        <family val="2"/>
        <scheme val="minor"/>
      </rPr>
      <t>cal</t>
    </r>
    <r>
      <rPr>
        <sz val="11"/>
        <rFont val="Calibri"/>
        <family val="2"/>
        <scheme val="minor"/>
      </rPr>
      <t xml:space="preserve"> &lt; F</t>
    </r>
    <r>
      <rPr>
        <vertAlign val="subscript"/>
        <sz val="11"/>
        <rFont val="Calibri"/>
        <family val="2"/>
        <scheme val="minor"/>
      </rPr>
      <t>cri</t>
    </r>
    <r>
      <rPr>
        <sz val="11"/>
        <rFont val="Calibri"/>
        <family val="2"/>
        <scheme val="minor"/>
      </rPr>
      <t>, Accept H</t>
    </r>
    <r>
      <rPr>
        <vertAlign val="subscript"/>
        <sz val="11"/>
        <rFont val="Calibri"/>
        <family val="2"/>
        <scheme val="minor"/>
      </rPr>
      <t>0</t>
    </r>
  </si>
  <si>
    <t>Lower one tail</t>
  </si>
  <si>
    <t>=FDIST(G16,G19,G18)</t>
  </si>
  <si>
    <t>Lower 1-tail critical F =</t>
  </si>
  <si>
    <t>=FINV(1-G10,G19,G18)</t>
  </si>
  <si>
    <t>Upper one tail</t>
  </si>
  <si>
    <t>=F.DIST.RT(G10,G19,G18)</t>
  </si>
  <si>
    <t>=F.INV.RT(G10,G19,G18)</t>
  </si>
  <si>
    <t>X1</t>
  </si>
  <si>
    <t>X2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</si>
</sst>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color rgb="FF0070C0"/>
      <name val="Calibri"/>
      <family val="2"/>
      <scheme val="minor"/>
    </font>
    <font>
      <vertAlign val="subscript"/>
      <sz val="12"/>
      <name val="Calibri"/>
      <family val="2"/>
      <scheme val="minor"/>
    </font>
    <font>
      <sz val="11"/>
      <color rgb="FF0070C0"/>
      <name val="Calibri"/>
      <family val="2"/>
      <scheme val="minor"/>
    </font>
    <font>
      <sz val="9.6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name val="Times New Roman"/>
      <family val="1"/>
    </font>
    <font>
      <vertAlign val="subscript"/>
      <sz val="12"/>
      <color theme="1"/>
      <name val="Calibri"/>
      <family val="2"/>
      <scheme val="minor"/>
    </font>
    <font>
      <vertAlign val="subscript"/>
      <sz val="12"/>
      <color rgb="FFFF0000"/>
      <name val="Calibri"/>
      <family val="2"/>
      <scheme val="minor"/>
    </font>
    <font>
      <sz val="12"/>
      <name val="Symbol"/>
      <family val="1"/>
      <charset val="2"/>
    </font>
    <font>
      <sz val="9"/>
      <name val="Calibri"/>
      <family val="2"/>
    </font>
    <font>
      <sz val="9"/>
      <name val="Symbol"/>
      <family val="1"/>
      <charset val="2"/>
    </font>
    <font>
      <sz val="12"/>
      <name val="Calibri"/>
      <family val="1"/>
      <charset val="2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vertAlign val="subscript"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vertAlign val="subscript"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27">
    <xf numFmtId="0" fontId="0" fillId="0" borderId="0" xfId="0"/>
    <xf numFmtId="0" fontId="0" fillId="0" borderId="0" xfId="0" quotePrefix="1"/>
    <xf numFmtId="0" fontId="0" fillId="0" borderId="0" xfId="0" applyAlignment="1">
      <alignment horizontal="right"/>
    </xf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"/>
    </xf>
    <xf numFmtId="0" fontId="3" fillId="0" borderId="0" xfId="0" quotePrefix="1" applyFont="1"/>
    <xf numFmtId="0" fontId="6" fillId="0" borderId="0" xfId="0" quotePrefix="1" applyFont="1"/>
    <xf numFmtId="0" fontId="0" fillId="2" borderId="0" xfId="0" applyFill="1"/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10" fillId="3" borderId="0" xfId="0" applyFont="1" applyFill="1"/>
    <xf numFmtId="0" fontId="9" fillId="3" borderId="0" xfId="0" applyFont="1" applyFill="1"/>
    <xf numFmtId="0" fontId="11" fillId="0" borderId="0" xfId="0" applyFont="1"/>
    <xf numFmtId="0" fontId="10" fillId="4" borderId="0" xfId="0" applyFont="1" applyFill="1"/>
    <xf numFmtId="0" fontId="9" fillId="4" borderId="0" xfId="0" applyFont="1" applyFill="1"/>
    <xf numFmtId="0" fontId="13" fillId="0" borderId="0" xfId="0" quotePrefix="1" applyFont="1"/>
    <xf numFmtId="0" fontId="13" fillId="0" borderId="0" xfId="0" applyFont="1" applyFill="1" applyBorder="1" applyAlignment="1"/>
    <xf numFmtId="0" fontId="0" fillId="0" borderId="0" xfId="0" applyFont="1"/>
    <xf numFmtId="0" fontId="10" fillId="5" borderId="0" xfId="0" applyFont="1" applyFill="1"/>
    <xf numFmtId="0" fontId="9" fillId="5" borderId="0" xfId="0" applyFont="1" applyFill="1"/>
    <xf numFmtId="0" fontId="10" fillId="0" borderId="0" xfId="0" applyFont="1" applyFill="1"/>
    <xf numFmtId="0" fontId="9" fillId="0" borderId="0" xfId="0" applyFont="1" applyAlignment="1">
      <alignment horizontal="left"/>
    </xf>
    <xf numFmtId="0" fontId="9" fillId="0" borderId="0" xfId="0" quotePrefix="1" applyFont="1"/>
    <xf numFmtId="0" fontId="10" fillId="6" borderId="0" xfId="0" applyFont="1" applyFill="1"/>
    <xf numFmtId="0" fontId="9" fillId="6" borderId="0" xfId="0" applyFont="1" applyFill="1"/>
    <xf numFmtId="0" fontId="9" fillId="6" borderId="0" xfId="0" applyFont="1" applyFill="1" applyAlignment="1">
      <alignment horizontal="right"/>
    </xf>
    <xf numFmtId="0" fontId="9" fillId="6" borderId="0" xfId="0" quotePrefix="1" applyFont="1" applyFill="1"/>
    <xf numFmtId="1" fontId="9" fillId="6" borderId="0" xfId="0" applyNumberFormat="1" applyFont="1" applyFill="1"/>
    <xf numFmtId="0" fontId="15" fillId="6" borderId="0" xfId="0" applyFont="1" applyFill="1"/>
    <xf numFmtId="0" fontId="15" fillId="0" borderId="0" xfId="0" applyFont="1"/>
    <xf numFmtId="0" fontId="10" fillId="7" borderId="0" xfId="0" applyFont="1" applyFill="1" applyBorder="1" applyAlignment="1">
      <alignment horizontal="left"/>
    </xf>
    <xf numFmtId="0" fontId="9" fillId="7" borderId="0" xfId="0" applyFont="1" applyFill="1" applyAlignment="1">
      <alignment horizontal="right"/>
    </xf>
    <xf numFmtId="0" fontId="9" fillId="7" borderId="0" xfId="0" applyFont="1" applyFill="1"/>
    <xf numFmtId="0" fontId="9" fillId="0" borderId="0" xfId="0" quotePrefix="1" applyFont="1" applyBorder="1"/>
    <xf numFmtId="0" fontId="15" fillId="7" borderId="0" xfId="0" applyFont="1" applyFill="1"/>
    <xf numFmtId="0" fontId="2" fillId="0" borderId="0" xfId="0" applyFont="1"/>
    <xf numFmtId="0" fontId="8" fillId="0" borderId="0" xfId="0" applyFont="1"/>
    <xf numFmtId="0" fontId="9" fillId="2" borderId="0" xfId="0" applyFont="1" applyFill="1"/>
    <xf numFmtId="0" fontId="3" fillId="0" borderId="0" xfId="0" applyFont="1" applyFill="1" applyBorder="1" applyAlignment="1"/>
    <xf numFmtId="0" fontId="0" fillId="2" borderId="0" xfId="0" applyFill="1" applyBorder="1" applyAlignment="1"/>
    <xf numFmtId="2" fontId="9" fillId="0" borderId="0" xfId="0" applyNumberFormat="1" applyFont="1" applyAlignment="1">
      <alignment horizontal="center"/>
    </xf>
    <xf numFmtId="0" fontId="10" fillId="6" borderId="0" xfId="0" applyFont="1" applyFill="1" applyBorder="1" applyAlignment="1">
      <alignment horizontal="left"/>
    </xf>
    <xf numFmtId="2" fontId="9" fillId="6" borderId="0" xfId="0" quotePrefix="1" applyNumberFormat="1" applyFont="1" applyFill="1"/>
    <xf numFmtId="0" fontId="23" fillId="0" borderId="0" xfId="0" applyFont="1"/>
    <xf numFmtId="0" fontId="3" fillId="0" borderId="1" xfId="0" applyFont="1" applyFill="1" applyBorder="1" applyAlignment="1"/>
    <xf numFmtId="0" fontId="8" fillId="6" borderId="0" xfId="0" quotePrefix="1" applyFont="1" applyFill="1"/>
    <xf numFmtId="2" fontId="9" fillId="0" borderId="0" xfId="0" applyNumberFormat="1" applyFont="1"/>
    <xf numFmtId="0" fontId="26" fillId="0" borderId="0" xfId="1" applyFont="1"/>
    <xf numFmtId="0" fontId="26" fillId="4" borderId="3" xfId="1" applyFont="1" applyFill="1" applyBorder="1" applyAlignment="1">
      <alignment horizontal="center"/>
    </xf>
    <xf numFmtId="0" fontId="26" fillId="0" borderId="0" xfId="1" applyFont="1" applyAlignment="1">
      <alignment horizontal="right"/>
    </xf>
    <xf numFmtId="0" fontId="26" fillId="0" borderId="3" xfId="1" applyFont="1" applyBorder="1" applyAlignment="1">
      <alignment horizontal="center"/>
    </xf>
    <xf numFmtId="0" fontId="26" fillId="0" borderId="0" xfId="1" applyFont="1" applyAlignment="1">
      <alignment horizontal="center"/>
    </xf>
    <xf numFmtId="0" fontId="26" fillId="0" borderId="3" xfId="1" applyFont="1" applyBorder="1" applyAlignment="1">
      <alignment horizontal="right"/>
    </xf>
    <xf numFmtId="0" fontId="26" fillId="0" borderId="3" xfId="1" applyFont="1" applyBorder="1"/>
    <xf numFmtId="0" fontId="26" fillId="0" borderId="0" xfId="1" applyFont="1" applyAlignment="1">
      <alignment horizontal="left"/>
    </xf>
    <xf numFmtId="0" fontId="26" fillId="0" borderId="0" xfId="1" quotePrefix="1" applyFont="1"/>
    <xf numFmtId="0" fontId="26" fillId="0" borderId="3" xfId="1" quotePrefix="1" applyFont="1" applyBorder="1"/>
    <xf numFmtId="1" fontId="26" fillId="0" borderId="0" xfId="1" applyNumberFormat="1" applyFont="1"/>
    <xf numFmtId="0" fontId="28" fillId="0" borderId="2" xfId="1" applyFont="1" applyFill="1" applyBorder="1" applyAlignment="1">
      <alignment horizontal="center"/>
    </xf>
    <xf numFmtId="0" fontId="26" fillId="0" borderId="0" xfId="1" applyFont="1" applyFill="1" applyBorder="1" applyAlignment="1"/>
    <xf numFmtId="0" fontId="32" fillId="6" borderId="3" xfId="1" applyFont="1" applyFill="1" applyBorder="1" applyAlignment="1">
      <alignment horizontal="right"/>
    </xf>
    <xf numFmtId="0" fontId="32" fillId="6" borderId="3" xfId="1" applyFont="1" applyFill="1" applyBorder="1"/>
    <xf numFmtId="0" fontId="32" fillId="6" borderId="0" xfId="1" applyFont="1" applyFill="1" applyBorder="1" applyAlignment="1"/>
    <xf numFmtId="0" fontId="26" fillId="6" borderId="3" xfId="1" applyFont="1" applyFill="1" applyBorder="1" applyAlignment="1">
      <alignment horizontal="right"/>
    </xf>
    <xf numFmtId="0" fontId="26" fillId="6" borderId="3" xfId="1" applyFont="1" applyFill="1" applyBorder="1"/>
    <xf numFmtId="0" fontId="26" fillId="6" borderId="1" xfId="1" applyFont="1" applyFill="1" applyBorder="1" applyAlignment="1"/>
    <xf numFmtId="0" fontId="26" fillId="0" borderId="1" xfId="1" applyFont="1" applyFill="1" applyBorder="1" applyAlignment="1"/>
    <xf numFmtId="0" fontId="26" fillId="0" borderId="3" xfId="1" applyFont="1" applyFill="1" applyBorder="1" applyAlignment="1">
      <alignment horizontal="right"/>
    </xf>
    <xf numFmtId="0" fontId="26" fillId="0" borderId="3" xfId="1" applyFont="1" applyFill="1" applyBorder="1"/>
    <xf numFmtId="0" fontId="32" fillId="0" borderId="3" xfId="1" applyFont="1" applyBorder="1" applyAlignment="1">
      <alignment horizontal="right"/>
    </xf>
    <xf numFmtId="0" fontId="32" fillId="0" borderId="3" xfId="1" applyFont="1" applyBorder="1"/>
    <xf numFmtId="0" fontId="32" fillId="0" borderId="0" xfId="1" applyFont="1"/>
    <xf numFmtId="0" fontId="34" fillId="0" borderId="0" xfId="1" applyFont="1"/>
    <xf numFmtId="0" fontId="34" fillId="4" borderId="3" xfId="1" applyFont="1" applyFill="1" applyBorder="1" applyAlignment="1">
      <alignment horizontal="center"/>
    </xf>
    <xf numFmtId="2" fontId="34" fillId="0" borderId="3" xfId="1" applyNumberFormat="1" applyFont="1" applyBorder="1" applyAlignment="1">
      <alignment horizontal="center"/>
    </xf>
    <xf numFmtId="2" fontId="34" fillId="0" borderId="3" xfId="1" applyNumberFormat="1" applyFont="1" applyBorder="1"/>
    <xf numFmtId="0" fontId="29" fillId="2" borderId="0" xfId="1" applyFont="1" applyFill="1"/>
    <xf numFmtId="0" fontId="34" fillId="0" borderId="0" xfId="1" applyFont="1" applyAlignment="1">
      <alignment horizontal="center"/>
    </xf>
    <xf numFmtId="0" fontId="34" fillId="0" borderId="0" xfId="1" applyFont="1" applyAlignment="1">
      <alignment horizontal="left"/>
    </xf>
    <xf numFmtId="0" fontId="24" fillId="0" borderId="0" xfId="0" applyFont="1"/>
    <xf numFmtId="0" fontId="34" fillId="0" borderId="3" xfId="1" applyFont="1" applyBorder="1" applyAlignment="1">
      <alignment horizontal="right"/>
    </xf>
    <xf numFmtId="0" fontId="34" fillId="0" borderId="3" xfId="1" applyFont="1" applyBorder="1"/>
    <xf numFmtId="0" fontId="24" fillId="0" borderId="0" xfId="0" applyFont="1" applyFill="1" applyBorder="1" applyAlignment="1"/>
    <xf numFmtId="0" fontId="34" fillId="0" borderId="0" xfId="1" quotePrefix="1" applyFont="1"/>
    <xf numFmtId="0" fontId="24" fillId="6" borderId="0" xfId="0" applyFont="1" applyFill="1" applyBorder="1" applyAlignment="1"/>
    <xf numFmtId="1" fontId="34" fillId="0" borderId="0" xfId="1" applyNumberFormat="1" applyFont="1"/>
    <xf numFmtId="0" fontId="3" fillId="6" borderId="0" xfId="0" applyFont="1" applyFill="1" applyBorder="1" applyAlignment="1"/>
    <xf numFmtId="0" fontId="24" fillId="0" borderId="1" xfId="0" applyFont="1" applyFill="1" applyBorder="1" applyAlignment="1"/>
    <xf numFmtId="0" fontId="3" fillId="6" borderId="3" xfId="1" applyFont="1" applyFill="1" applyBorder="1" applyAlignment="1">
      <alignment horizontal="right"/>
    </xf>
    <xf numFmtId="0" fontId="3" fillId="6" borderId="3" xfId="1" applyFont="1" applyFill="1" applyBorder="1"/>
    <xf numFmtId="0" fontId="34" fillId="0" borderId="0" xfId="1" applyFont="1" applyAlignment="1">
      <alignment horizontal="right"/>
    </xf>
    <xf numFmtId="0" fontId="34" fillId="0" borderId="3" xfId="1" applyFont="1" applyFill="1" applyBorder="1" applyAlignment="1">
      <alignment horizontal="right"/>
    </xf>
    <xf numFmtId="0" fontId="34" fillId="0" borderId="3" xfId="1" applyFont="1" applyFill="1" applyBorder="1"/>
    <xf numFmtId="0" fontId="34" fillId="6" borderId="0" xfId="1" applyFont="1" applyFill="1"/>
    <xf numFmtId="0" fontId="34" fillId="6" borderId="3" xfId="1" applyFont="1" applyFill="1" applyBorder="1" applyAlignment="1">
      <alignment horizontal="right"/>
    </xf>
    <xf numFmtId="0" fontId="34" fillId="6" borderId="3" xfId="1" applyFont="1" applyFill="1" applyBorder="1"/>
    <xf numFmtId="0" fontId="37" fillId="0" borderId="0" xfId="0" applyFont="1" applyFill="1"/>
    <xf numFmtId="0" fontId="24" fillId="0" borderId="3" xfId="0" applyFont="1" applyFill="1" applyBorder="1" applyAlignment="1">
      <alignment horizontal="right"/>
    </xf>
    <xf numFmtId="0" fontId="24" fillId="0" borderId="3" xfId="0" applyFont="1" applyFill="1" applyBorder="1"/>
    <xf numFmtId="0" fontId="34" fillId="0" borderId="0" xfId="0" quotePrefix="1" applyFont="1" applyFill="1"/>
    <xf numFmtId="0" fontId="34" fillId="0" borderId="0" xfId="0" applyFont="1" applyFill="1"/>
    <xf numFmtId="0" fontId="34" fillId="0" borderId="3" xfId="0" applyFont="1" applyFill="1" applyBorder="1" applyAlignment="1">
      <alignment horizontal="right"/>
    </xf>
    <xf numFmtId="0" fontId="34" fillId="0" borderId="3" xfId="0" applyFont="1" applyFill="1" applyBorder="1"/>
    <xf numFmtId="0" fontId="9" fillId="0" borderId="3" xfId="0" applyFont="1" applyBorder="1" applyAlignment="1">
      <alignment horizontal="center"/>
    </xf>
    <xf numFmtId="2" fontId="9" fillId="0" borderId="3" xfId="0" applyNumberFormat="1" applyFont="1" applyBorder="1" applyAlignment="1">
      <alignment horizontal="center"/>
    </xf>
    <xf numFmtId="0" fontId="9" fillId="0" borderId="3" xfId="0" applyFont="1" applyBorder="1"/>
    <xf numFmtId="0" fontId="9" fillId="4" borderId="3" xfId="0" applyFont="1" applyFill="1" applyBorder="1" applyAlignment="1">
      <alignment horizontal="center"/>
    </xf>
    <xf numFmtId="0" fontId="22" fillId="4" borderId="3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left"/>
    </xf>
    <xf numFmtId="0" fontId="9" fillId="5" borderId="3" xfId="0" applyFont="1" applyFill="1" applyBorder="1"/>
    <xf numFmtId="0" fontId="9" fillId="6" borderId="3" xfId="0" applyFont="1" applyFill="1" applyBorder="1" applyAlignment="1">
      <alignment horizontal="right"/>
    </xf>
    <xf numFmtId="0" fontId="9" fillId="6" borderId="3" xfId="0" applyFont="1" applyFill="1" applyBorder="1"/>
    <xf numFmtId="0" fontId="9" fillId="2" borderId="3" xfId="0" quotePrefix="1" applyFont="1" applyFill="1" applyBorder="1"/>
    <xf numFmtId="0" fontId="9" fillId="6" borderId="3" xfId="0" quotePrefix="1" applyFont="1" applyFill="1" applyBorder="1"/>
    <xf numFmtId="0" fontId="9" fillId="0" borderId="3" xfId="0" applyFont="1" applyBorder="1" applyAlignment="1">
      <alignment horizontal="right"/>
    </xf>
    <xf numFmtId="0" fontId="9" fillId="2" borderId="3" xfId="0" applyFont="1" applyFill="1" applyBorder="1" applyAlignment="1">
      <alignment horizontal="right"/>
    </xf>
    <xf numFmtId="0" fontId="9" fillId="2" borderId="3" xfId="0" applyFont="1" applyFill="1" applyBorder="1"/>
    <xf numFmtId="0" fontId="8" fillId="6" borderId="3" xfId="0" applyFont="1" applyFill="1" applyBorder="1"/>
    <xf numFmtId="2" fontId="9" fillId="6" borderId="3" xfId="0" applyNumberFormat="1" applyFont="1" applyFill="1" applyBorder="1"/>
    <xf numFmtId="0" fontId="22" fillId="6" borderId="3" xfId="0" applyFont="1" applyFill="1" applyBorder="1" applyAlignment="1">
      <alignment horizontal="right"/>
    </xf>
    <xf numFmtId="0" fontId="9" fillId="5" borderId="3" xfId="0" applyFont="1" applyFill="1" applyBorder="1" applyAlignment="1">
      <alignment horizontal="right"/>
    </xf>
    <xf numFmtId="0" fontId="8" fillId="2" borderId="3" xfId="0" applyFont="1" applyFill="1" applyBorder="1"/>
    <xf numFmtId="2" fontId="8" fillId="6" borderId="3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29" fillId="2" borderId="4" xfId="1" applyFont="1" applyFill="1" applyBorder="1" applyAlignment="1">
      <alignment horizontal="center"/>
    </xf>
  </cellXfs>
  <cellStyles count="2">
    <cellStyle name="Normal" xfId="0" builtinId="0"/>
    <cellStyle name="Normal 2" xfId="1" xr:uid="{B1907A5C-E141-439E-B5DE-62E37A20A3F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127000</xdr:colOff>
      <xdr:row>11</xdr:row>
      <xdr:rowOff>203199</xdr:rowOff>
    </xdr:from>
    <xdr:to>
      <xdr:col>11</xdr:col>
      <xdr:colOff>749300</xdr:colOff>
      <xdr:row>25</xdr:row>
      <xdr:rowOff>149064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231E69-81B5-4D8A-B2B9-99C1DB117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0" y="2539999"/>
          <a:ext cx="4826000" cy="30954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55</xdr:row>
      <xdr:rowOff>0</xdr:rowOff>
    </xdr:from>
    <xdr:to>
      <xdr:col>11</xdr:col>
      <xdr:colOff>3441700</xdr:colOff>
      <xdr:row>72</xdr:row>
      <xdr:rowOff>106746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056159-61FA-42CB-BCE0-91A130FE79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09500" y="11341100"/>
          <a:ext cx="5003800" cy="35611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51</xdr:row>
      <xdr:rowOff>203199</xdr:rowOff>
    </xdr:from>
    <xdr:to>
      <xdr:col>12</xdr:col>
      <xdr:colOff>1409700</xdr:colOff>
      <xdr:row>74</xdr:row>
      <xdr:rowOff>79416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286609-1429-4159-A2DB-DE25B0004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3700" y="10731499"/>
          <a:ext cx="6426200" cy="45498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52</xdr:row>
      <xdr:rowOff>0</xdr:rowOff>
    </xdr:from>
    <xdr:to>
      <xdr:col>13</xdr:col>
      <xdr:colOff>0</xdr:colOff>
      <xdr:row>74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9B3AA8-DA86-493F-8F7B-2053A3C71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6800" y="10553700"/>
          <a:ext cx="6534150" cy="44996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51</xdr:row>
      <xdr:rowOff>203199</xdr:rowOff>
    </xdr:from>
    <xdr:to>
      <xdr:col>12</xdr:col>
      <xdr:colOff>1079500</xdr:colOff>
      <xdr:row>73</xdr:row>
      <xdr:rowOff>53418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98F31DF-E4D3-47F6-B48A-33DDACE8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96900" y="10556874"/>
          <a:ext cx="6099175" cy="42507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2"/>
  <sheetViews>
    <sheetView tabSelected="1" zoomScale="75" zoomScaleNormal="75" workbookViewId="0">
      <selection activeCell="K41" sqref="K41"/>
    </sheetView>
  </sheetViews>
  <sheetFormatPr defaultColWidth="9.140625" defaultRowHeight="15.75"/>
  <cols>
    <col min="1" max="2" width="9.140625" style="10"/>
    <col min="3" max="3" width="9.140625" style="11"/>
    <col min="4" max="4" width="9.140625" style="10"/>
    <col min="5" max="5" width="23.42578125" style="10" customWidth="1"/>
    <col min="6" max="6" width="27.5703125" style="10" customWidth="1"/>
    <col min="7" max="7" width="15.7109375" style="10" customWidth="1"/>
    <col min="8" max="8" width="45.42578125" style="10" customWidth="1"/>
    <col min="9" max="9" width="23.140625" style="10" customWidth="1"/>
    <col min="10" max="10" width="17.5703125" style="10" customWidth="1"/>
    <col min="11" max="11" width="22.28515625" style="10" customWidth="1"/>
    <col min="12" max="12" width="15.85546875" style="10" customWidth="1"/>
    <col min="13" max="13" width="44" style="10" customWidth="1"/>
    <col min="14" max="16384" width="9.140625" style="10"/>
  </cols>
  <sheetData>
    <row r="1" spans="1:16">
      <c r="A1" s="10" t="s">
        <v>16</v>
      </c>
      <c r="I1" t="s">
        <v>17</v>
      </c>
      <c r="J1"/>
      <c r="K1"/>
    </row>
    <row r="2" spans="1:16" ht="16.5" thickBot="1">
      <c r="I2"/>
      <c r="J2"/>
      <c r="K2"/>
    </row>
    <row r="3" spans="1:16">
      <c r="B3" s="11" t="s">
        <v>18</v>
      </c>
      <c r="C3" s="11" t="s">
        <v>19</v>
      </c>
      <c r="E3" s="12" t="s">
        <v>20</v>
      </c>
      <c r="F3" s="13"/>
      <c r="G3" s="13"/>
      <c r="H3" s="13"/>
      <c r="I3" s="5"/>
      <c r="J3" s="5" t="s">
        <v>0</v>
      </c>
      <c r="K3" s="5" t="s">
        <v>1</v>
      </c>
      <c r="L3" s="14" t="s">
        <v>21</v>
      </c>
    </row>
    <row r="4" spans="1:16" ht="18.75">
      <c r="B4" s="11">
        <v>427</v>
      </c>
      <c r="C4" s="11">
        <v>432</v>
      </c>
      <c r="E4" s="13"/>
      <c r="F4" s="13" t="s">
        <v>22</v>
      </c>
      <c r="G4" s="13"/>
      <c r="H4" s="13"/>
      <c r="I4" s="3" t="s">
        <v>2</v>
      </c>
      <c r="J4" s="3">
        <v>473.4</v>
      </c>
      <c r="K4" s="3">
        <v>513.44444444444446</v>
      </c>
    </row>
    <row r="5" spans="1:16" ht="18.75">
      <c r="B5" s="11">
        <v>488</v>
      </c>
      <c r="C5" s="11">
        <v>550</v>
      </c>
      <c r="E5" s="13"/>
      <c r="F5" s="13" t="s">
        <v>23</v>
      </c>
      <c r="G5" s="13"/>
      <c r="H5" s="13"/>
      <c r="I5" s="3" t="s">
        <v>3</v>
      </c>
      <c r="J5" s="3">
        <v>4481.5</v>
      </c>
      <c r="K5" s="3">
        <v>1956.2614379084969</v>
      </c>
    </row>
    <row r="6" spans="1:16">
      <c r="B6" s="11">
        <v>534</v>
      </c>
      <c r="C6" s="11">
        <v>590</v>
      </c>
      <c r="I6" s="3" t="s">
        <v>4</v>
      </c>
      <c r="J6" s="3">
        <v>25</v>
      </c>
      <c r="K6" s="3">
        <v>18</v>
      </c>
    </row>
    <row r="7" spans="1:16">
      <c r="B7" s="11">
        <v>510</v>
      </c>
      <c r="C7" s="11">
        <v>434</v>
      </c>
      <c r="D7" s="11"/>
      <c r="E7" s="15" t="s">
        <v>24</v>
      </c>
      <c r="F7" s="16"/>
      <c r="G7" s="16"/>
      <c r="H7" s="16"/>
      <c r="I7" s="3" t="s">
        <v>5</v>
      </c>
      <c r="J7" s="3">
        <v>24</v>
      </c>
      <c r="K7" s="3">
        <v>17</v>
      </c>
    </row>
    <row r="8" spans="1:16">
      <c r="B8" s="11">
        <v>445</v>
      </c>
      <c r="C8" s="11">
        <v>468</v>
      </c>
      <c r="E8" s="16"/>
      <c r="F8" s="16" t="s">
        <v>25</v>
      </c>
      <c r="G8" s="16"/>
      <c r="H8" s="16"/>
      <c r="I8" s="3" t="s">
        <v>6</v>
      </c>
      <c r="J8" s="41">
        <v>2.2908492255469279</v>
      </c>
      <c r="K8" s="3"/>
      <c r="L8" s="17">
        <f>G19^2/G18^2</f>
        <v>2.2908492255469284</v>
      </c>
      <c r="M8" s="17" t="s">
        <v>26</v>
      </c>
    </row>
    <row r="9" spans="1:16">
      <c r="B9" s="11">
        <v>550</v>
      </c>
      <c r="C9" s="11">
        <v>423</v>
      </c>
      <c r="E9" s="16"/>
      <c r="F9" s="16" t="s">
        <v>27</v>
      </c>
      <c r="G9" s="16"/>
      <c r="H9" s="16"/>
      <c r="I9" s="3" t="s">
        <v>7</v>
      </c>
      <c r="J9" s="3">
        <v>4.1226356276011997E-2</v>
      </c>
      <c r="K9" s="3"/>
      <c r="L9" s="17">
        <f>_xlfn.F.DIST.RT(J8,J7,K7)</f>
        <v>4.1226356276011997E-2</v>
      </c>
      <c r="M9" s="17" t="s">
        <v>28</v>
      </c>
    </row>
    <row r="10" spans="1:16" ht="16.5" thickBot="1">
      <c r="B10" s="11">
        <v>540</v>
      </c>
      <c r="C10" s="11">
        <v>424</v>
      </c>
      <c r="E10" s="16"/>
      <c r="F10" s="16" t="s">
        <v>29</v>
      </c>
      <c r="G10" s="16"/>
      <c r="H10" s="16"/>
      <c r="I10" s="4" t="s">
        <v>8</v>
      </c>
      <c r="J10" s="4">
        <v>2.1897664561386279</v>
      </c>
      <c r="K10" s="4"/>
      <c r="L10" s="17">
        <f>_xlfn.F.INV.RT(G13,J7,K7)</f>
        <v>2.1897664561386279</v>
      </c>
      <c r="M10" s="17" t="s">
        <v>30</v>
      </c>
    </row>
    <row r="11" spans="1:16">
      <c r="B11" s="11">
        <v>569</v>
      </c>
      <c r="C11" s="11">
        <v>434</v>
      </c>
      <c r="I11" s="18" t="s">
        <v>31</v>
      </c>
      <c r="J11" s="19"/>
      <c r="K11" s="18">
        <v>0.05</v>
      </c>
    </row>
    <row r="12" spans="1:16">
      <c r="B12" s="11">
        <v>517</v>
      </c>
      <c r="C12" s="11">
        <v>560</v>
      </c>
      <c r="E12" s="20" t="s">
        <v>32</v>
      </c>
      <c r="F12" s="21"/>
      <c r="G12" s="21"/>
      <c r="H12" s="21"/>
    </row>
    <row r="13" spans="1:16">
      <c r="B13" s="11">
        <v>445</v>
      </c>
      <c r="C13" s="11">
        <v>580</v>
      </c>
      <c r="E13" s="20"/>
      <c r="F13" s="110" t="s">
        <v>33</v>
      </c>
      <c r="G13" s="111">
        <v>0.05</v>
      </c>
      <c r="H13" s="21"/>
    </row>
    <row r="14" spans="1:16">
      <c r="B14" s="11">
        <v>540</v>
      </c>
      <c r="C14" s="11">
        <v>440</v>
      </c>
      <c r="E14" s="22"/>
      <c r="F14" s="23"/>
      <c r="I14" s="24"/>
      <c r="J14" s="24"/>
      <c r="K14" s="24"/>
      <c r="L14" s="24"/>
      <c r="M14" s="24"/>
      <c r="N14" s="24"/>
      <c r="O14" s="24"/>
      <c r="P14" s="24"/>
    </row>
    <row r="15" spans="1:16">
      <c r="B15" s="11">
        <v>523</v>
      </c>
      <c r="C15" s="11">
        <v>458</v>
      </c>
      <c r="E15" s="25" t="s">
        <v>34</v>
      </c>
      <c r="F15" s="26"/>
      <c r="G15" s="26"/>
      <c r="H15" s="26"/>
      <c r="I15" s="24"/>
      <c r="J15" s="24"/>
      <c r="K15" s="24"/>
      <c r="L15" s="24"/>
      <c r="M15" s="24"/>
      <c r="N15" s="24"/>
      <c r="O15" s="24"/>
      <c r="P15" s="24"/>
    </row>
    <row r="16" spans="1:16" ht="18.75">
      <c r="B16" s="11">
        <v>500</v>
      </c>
      <c r="C16" s="11">
        <v>465</v>
      </c>
      <c r="E16" s="26"/>
      <c r="F16" s="112" t="s">
        <v>35</v>
      </c>
      <c r="G16" s="113">
        <f>COUNT(B4:B21)</f>
        <v>18</v>
      </c>
      <c r="H16" s="28" t="s">
        <v>36</v>
      </c>
      <c r="I16" s="24"/>
      <c r="J16" s="24"/>
      <c r="K16" s="24"/>
      <c r="L16" s="24"/>
      <c r="M16" s="24"/>
      <c r="N16" s="24"/>
      <c r="O16" s="24"/>
      <c r="P16" s="24"/>
    </row>
    <row r="17" spans="2:16" ht="18.75">
      <c r="B17" s="11">
        <v>528</v>
      </c>
      <c r="C17" s="11">
        <v>420</v>
      </c>
      <c r="E17" s="29"/>
      <c r="F17" s="112" t="s">
        <v>37</v>
      </c>
      <c r="G17" s="113">
        <f>COUNT(C4:C28)</f>
        <v>25</v>
      </c>
      <c r="H17" s="28" t="s">
        <v>38</v>
      </c>
    </row>
    <row r="18" spans="2:16" ht="18.75">
      <c r="B18" s="11">
        <v>588</v>
      </c>
      <c r="C18" s="11">
        <v>420</v>
      </c>
      <c r="E18" s="26"/>
      <c r="F18" s="112" t="s">
        <v>39</v>
      </c>
      <c r="G18" s="113">
        <f>_xlfn.STDEV.S(B4:B21)</f>
        <v>44.229644333958838</v>
      </c>
      <c r="H18" s="28" t="s">
        <v>40</v>
      </c>
    </row>
    <row r="19" spans="2:16" ht="18.75">
      <c r="B19" s="11">
        <v>468</v>
      </c>
      <c r="C19" s="11">
        <v>580</v>
      </c>
      <c r="E19" s="26"/>
      <c r="F19" s="112" t="s">
        <v>41</v>
      </c>
      <c r="G19" s="113">
        <f>_xlfn.STDEV.S(C4:C28)</f>
        <v>66.944006453154572</v>
      </c>
      <c r="H19" s="28" t="s">
        <v>42</v>
      </c>
      <c r="I19" s="24"/>
      <c r="J19" s="24"/>
      <c r="K19" s="24"/>
      <c r="L19" s="24"/>
      <c r="M19" s="24"/>
      <c r="N19" s="24"/>
      <c r="O19" s="24"/>
      <c r="P19" s="24"/>
    </row>
    <row r="20" spans="2:16" ht="18.75">
      <c r="B20" s="11">
        <v>520</v>
      </c>
      <c r="C20" s="11">
        <v>432</v>
      </c>
      <c r="E20" s="26"/>
      <c r="F20" s="38" t="s">
        <v>65</v>
      </c>
      <c r="I20" s="24"/>
      <c r="J20" s="24"/>
      <c r="K20" s="24"/>
      <c r="L20" s="24"/>
      <c r="M20" s="24"/>
      <c r="N20" s="24"/>
      <c r="O20" s="24"/>
      <c r="P20" s="24"/>
    </row>
    <row r="21" spans="2:16" ht="18.75">
      <c r="B21" s="11">
        <v>550</v>
      </c>
      <c r="C21" s="11">
        <v>589</v>
      </c>
      <c r="E21" s="26"/>
      <c r="F21" s="112" t="s">
        <v>43</v>
      </c>
      <c r="G21" s="114">
        <f>G19^2/G18^2</f>
        <v>2.2908492255469284</v>
      </c>
      <c r="H21" s="28" t="s">
        <v>26</v>
      </c>
      <c r="I21" s="24"/>
      <c r="J21" s="24"/>
      <c r="K21" s="24"/>
      <c r="L21" s="24"/>
      <c r="M21" s="24"/>
      <c r="N21" s="24"/>
      <c r="O21" s="24"/>
      <c r="P21" s="24"/>
    </row>
    <row r="22" spans="2:16">
      <c r="B22" s="11"/>
      <c r="C22" s="11">
        <v>424</v>
      </c>
      <c r="E22" s="26"/>
      <c r="F22" s="26" t="s">
        <v>44</v>
      </c>
      <c r="G22" s="26"/>
      <c r="H22" s="26"/>
      <c r="I22" s="24"/>
      <c r="J22" s="24"/>
      <c r="K22" s="24"/>
      <c r="L22" s="24"/>
      <c r="M22" s="24"/>
      <c r="N22" s="24"/>
      <c r="O22" s="24"/>
      <c r="P22" s="24"/>
    </row>
    <row r="23" spans="2:16" ht="18.75">
      <c r="B23" s="11"/>
      <c r="C23" s="11">
        <v>580</v>
      </c>
      <c r="E23" s="26"/>
      <c r="F23" s="112" t="s">
        <v>45</v>
      </c>
      <c r="G23" s="115">
        <f>G16-1</f>
        <v>17</v>
      </c>
      <c r="H23" s="28" t="s">
        <v>46</v>
      </c>
      <c r="I23" s="24"/>
      <c r="J23" s="24"/>
      <c r="K23" s="24"/>
      <c r="L23" s="24"/>
      <c r="M23" s="24"/>
      <c r="N23" s="24"/>
      <c r="O23" s="24"/>
      <c r="P23" s="24"/>
    </row>
    <row r="24" spans="2:16" ht="18.75">
      <c r="B24" s="11"/>
      <c r="C24" s="11">
        <v>454</v>
      </c>
      <c r="E24" s="26"/>
      <c r="F24" s="112" t="s">
        <v>47</v>
      </c>
      <c r="G24" s="115">
        <f>G17-1</f>
        <v>24</v>
      </c>
      <c r="H24" s="28" t="s">
        <v>48</v>
      </c>
      <c r="I24" s="24"/>
      <c r="J24" s="24"/>
      <c r="K24" s="24"/>
      <c r="L24" s="24"/>
      <c r="M24" s="24"/>
      <c r="N24" s="24"/>
      <c r="O24" s="24"/>
      <c r="P24" s="24"/>
    </row>
    <row r="25" spans="2:16">
      <c r="B25" s="11"/>
      <c r="C25" s="11">
        <v>420</v>
      </c>
      <c r="E25" s="30" t="s">
        <v>49</v>
      </c>
      <c r="F25" s="112" t="s">
        <v>50</v>
      </c>
      <c r="G25" s="115">
        <f>_xlfn.F.TEST(B4:B21,C4:C28)</f>
        <v>8.2452712552023646E-2</v>
      </c>
      <c r="H25" s="28" t="s">
        <v>51</v>
      </c>
    </row>
    <row r="26" spans="2:16" ht="18.75">
      <c r="B26" s="11"/>
      <c r="C26" s="11">
        <v>423</v>
      </c>
      <c r="E26" s="30" t="s">
        <v>52</v>
      </c>
      <c r="F26" s="112" t="s">
        <v>53</v>
      </c>
      <c r="G26" s="115">
        <f>_xlfn.F.INV.RT(G13/2,G24,G23)</f>
        <v>2.5598243524584063</v>
      </c>
      <c r="H26" s="28" t="s">
        <v>54</v>
      </c>
    </row>
    <row r="27" spans="2:16" ht="18.75">
      <c r="B27" s="11"/>
      <c r="C27" s="11">
        <v>420</v>
      </c>
      <c r="E27" s="26"/>
      <c r="F27" s="112" t="s">
        <v>55</v>
      </c>
      <c r="G27" s="115">
        <f>_xlfn.F.INV(G13/2,G23,G24)</f>
        <v>0.39065180352691747</v>
      </c>
      <c r="H27" s="28" t="s">
        <v>56</v>
      </c>
      <c r="I27" s="125" t="s">
        <v>10</v>
      </c>
      <c r="J27" s="125"/>
      <c r="K27" s="125"/>
      <c r="L27" s="39">
        <f>2*J9</f>
        <v>8.2452712552023993E-2</v>
      </c>
      <c r="M27" s="24" t="s">
        <v>62</v>
      </c>
    </row>
    <row r="28" spans="2:16">
      <c r="B28" s="11"/>
      <c r="C28" s="11">
        <v>415</v>
      </c>
      <c r="E28" s="31"/>
      <c r="H28" s="9" t="s">
        <v>14</v>
      </c>
      <c r="I28" s="8" t="s">
        <v>15</v>
      </c>
    </row>
    <row r="29" spans="2:16" ht="18.75">
      <c r="F29" s="116" t="s">
        <v>68</v>
      </c>
      <c r="G29" s="107">
        <f>1/G26</f>
        <v>0.39065180352691742</v>
      </c>
      <c r="H29" s="24" t="s">
        <v>67</v>
      </c>
      <c r="I29" s="37" t="s">
        <v>63</v>
      </c>
      <c r="M29" s="35"/>
      <c r="N29" s="35"/>
      <c r="O29" s="35"/>
      <c r="P29" s="35"/>
    </row>
    <row r="30" spans="2:16" ht="18.75">
      <c r="I30" s="37" t="s">
        <v>64</v>
      </c>
      <c r="M30" s="35"/>
      <c r="N30" s="35"/>
      <c r="O30" s="35"/>
      <c r="P30" s="35"/>
    </row>
    <row r="31" spans="2:16" ht="18">
      <c r="E31" s="32" t="s">
        <v>57</v>
      </c>
      <c r="F31" s="33"/>
      <c r="G31" s="34"/>
      <c r="H31" s="34"/>
      <c r="I31" s="8" t="s">
        <v>66</v>
      </c>
    </row>
    <row r="32" spans="2:16" ht="18.75">
      <c r="E32" s="36" t="s">
        <v>49</v>
      </c>
      <c r="F32" s="34" t="s">
        <v>58</v>
      </c>
      <c r="G32" s="34"/>
      <c r="H32" s="34" t="s">
        <v>59</v>
      </c>
      <c r="I32" s="2" t="s">
        <v>76</v>
      </c>
      <c r="J32">
        <f>_xlfn.F.INV.RT(G13,J7,K7)</f>
        <v>2.1897664561386279</v>
      </c>
      <c r="K32" s="1" t="s">
        <v>30</v>
      </c>
    </row>
    <row r="33" spans="5:12" ht="18.75">
      <c r="E33" s="36" t="s">
        <v>52</v>
      </c>
      <c r="F33" s="34" t="s">
        <v>60</v>
      </c>
      <c r="G33" s="34"/>
      <c r="H33" s="34" t="s">
        <v>61</v>
      </c>
      <c r="I33" s="2" t="s">
        <v>13</v>
      </c>
      <c r="J33">
        <f>_xlfn.F.DIST.RT(J8,J7,K7)</f>
        <v>4.1226356276011997E-2</v>
      </c>
      <c r="K33" s="1" t="s">
        <v>28</v>
      </c>
      <c r="L33"/>
    </row>
    <row r="34" spans="5:12">
      <c r="J34"/>
      <c r="K34"/>
      <c r="L34"/>
    </row>
    <row r="35" spans="5:12">
      <c r="I35"/>
      <c r="J35"/>
      <c r="K35"/>
      <c r="L35"/>
    </row>
    <row r="36" spans="5:12">
      <c r="F36" s="39" t="s">
        <v>69</v>
      </c>
      <c r="L36"/>
    </row>
    <row r="37" spans="5:12">
      <c r="F37" s="2" t="s">
        <v>12</v>
      </c>
      <c r="G37">
        <f>FDIST(G21,G24,G23)</f>
        <v>4.1226356276011802E-2</v>
      </c>
      <c r="H37" s="6" t="s">
        <v>70</v>
      </c>
    </row>
    <row r="38" spans="5:12">
      <c r="F38" s="2" t="s">
        <v>12</v>
      </c>
      <c r="G38">
        <f>1-_xlfn.F.DIST(G21,G24,G23,TRUE)</f>
        <v>4.1226356276011789E-2</v>
      </c>
      <c r="H38" s="6" t="s">
        <v>71</v>
      </c>
    </row>
    <row r="39" spans="5:12">
      <c r="F39" s="2" t="s">
        <v>13</v>
      </c>
      <c r="G39">
        <f>_xlfn.F.DIST.RT(G21,G24,G23)</f>
        <v>4.1226356276011802E-2</v>
      </c>
      <c r="H39" s="6" t="s">
        <v>72</v>
      </c>
    </row>
    <row r="40" spans="5:12">
      <c r="F40" s="2" t="s">
        <v>11</v>
      </c>
      <c r="G40">
        <f>2*(1-_xlfn.F.DIST(G21,G24,G23,TRUE))</f>
        <v>8.2452712552023577E-2</v>
      </c>
      <c r="H40" s="7" t="s">
        <v>73</v>
      </c>
    </row>
    <row r="41" spans="5:12">
      <c r="F41" s="2" t="s">
        <v>11</v>
      </c>
      <c r="G41" s="8">
        <f>2*_xlfn.F.DIST.RT(G21,G24,G23)</f>
        <v>8.2452712552023605E-2</v>
      </c>
      <c r="H41" s="7" t="s">
        <v>74</v>
      </c>
    </row>
    <row r="42" spans="5:12">
      <c r="F42" s="2" t="s">
        <v>9</v>
      </c>
      <c r="G42" s="8">
        <f>_xlfn.F.TEST(C4:C28,B4:B21)</f>
        <v>8.2452712552023646E-2</v>
      </c>
      <c r="H42" s="7" t="s">
        <v>75</v>
      </c>
    </row>
  </sheetData>
  <mergeCells count="1">
    <mergeCell ref="I27:K27"/>
  </mergeCells>
  <printOptions headings="1" gridLines="1"/>
  <pageMargins left="0.70866141732283472" right="0.70866141732283472" top="0.74803149606299213" bottom="0.74803149606299213" header="0.31496062992125984" footer="0.31496062992125984"/>
  <pageSetup paperSize="8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topLeftCell="K3" zoomScale="75" zoomScaleNormal="75" workbookViewId="0">
      <selection activeCell="X42" sqref="X42"/>
    </sheetView>
  </sheetViews>
  <sheetFormatPr defaultColWidth="9.140625" defaultRowHeight="15.75"/>
  <cols>
    <col min="1" max="1" width="5.42578125" style="10" customWidth="1"/>
    <col min="2" max="2" width="11.85546875" style="10" customWidth="1"/>
    <col min="3" max="3" width="12.140625" style="11" customWidth="1"/>
    <col min="4" max="4" width="23.28515625" style="11" customWidth="1"/>
    <col min="5" max="5" width="22.42578125" style="11" customWidth="1"/>
    <col min="6" max="6" width="16.7109375" style="11" customWidth="1"/>
    <col min="7" max="7" width="15.140625" style="11" customWidth="1"/>
    <col min="8" max="9" width="23.5703125" style="11" customWidth="1"/>
    <col min="10" max="10" width="9" style="10" customWidth="1"/>
    <col min="11" max="11" width="23.42578125" style="10" customWidth="1"/>
    <col min="12" max="12" width="51.85546875" style="10" customWidth="1"/>
    <col min="13" max="13" width="22.7109375" style="10" customWidth="1"/>
    <col min="14" max="14" width="77" style="10" customWidth="1"/>
    <col min="15" max="16384" width="9.140625" style="10"/>
  </cols>
  <sheetData>
    <row r="1" spans="1:14" ht="18.75">
      <c r="A1" s="45" t="s">
        <v>85</v>
      </c>
    </row>
    <row r="3" spans="1:14">
      <c r="B3" s="108" t="s">
        <v>18</v>
      </c>
      <c r="C3" s="108" t="s">
        <v>19</v>
      </c>
      <c r="D3" s="108" t="s">
        <v>90</v>
      </c>
      <c r="E3" s="108" t="s">
        <v>91</v>
      </c>
      <c r="F3" s="109" t="s">
        <v>92</v>
      </c>
      <c r="G3" s="109" t="s">
        <v>93</v>
      </c>
      <c r="H3" s="109" t="s">
        <v>94</v>
      </c>
      <c r="I3" s="109" t="s">
        <v>95</v>
      </c>
      <c r="K3" s="12" t="s">
        <v>20</v>
      </c>
      <c r="L3" s="13"/>
      <c r="M3" s="13"/>
      <c r="N3" s="13"/>
    </row>
    <row r="4" spans="1:14" ht="18.75">
      <c r="B4" s="105">
        <v>427</v>
      </c>
      <c r="C4" s="105">
        <v>432</v>
      </c>
      <c r="D4" s="106">
        <f>B4-$M$20</f>
        <v>-86.444444444444457</v>
      </c>
      <c r="E4" s="106">
        <f>C4-$M$21</f>
        <v>-41.399999999999977</v>
      </c>
      <c r="F4" s="106">
        <f>ABS(D4)</f>
        <v>86.444444444444457</v>
      </c>
      <c r="G4" s="106">
        <f>ABS(E4)</f>
        <v>41.399999999999977</v>
      </c>
      <c r="H4" s="106">
        <f>(F4-$M$22)^2</f>
        <v>2691.1757354061897</v>
      </c>
      <c r="I4" s="106">
        <f>(G4-$M$23)^2</f>
        <v>250.14585600000075</v>
      </c>
      <c r="K4" s="13"/>
      <c r="L4" s="13" t="s">
        <v>22</v>
      </c>
      <c r="M4" s="13"/>
      <c r="N4" s="13"/>
    </row>
    <row r="5" spans="1:14" ht="18.75">
      <c r="B5" s="105">
        <v>488</v>
      </c>
      <c r="C5" s="105">
        <v>550</v>
      </c>
      <c r="D5" s="106">
        <f t="shared" ref="D5:D21" si="0">B5-$M$20</f>
        <v>-25.444444444444457</v>
      </c>
      <c r="E5" s="106">
        <f t="shared" ref="E5:E28" si="1">C5-$M$21</f>
        <v>76.600000000000023</v>
      </c>
      <c r="F5" s="106">
        <f t="shared" ref="F5:F21" si="2">ABS(D5)</f>
        <v>25.444444444444457</v>
      </c>
      <c r="G5" s="106">
        <f t="shared" ref="G5:G28" si="3">ABS(E5)</f>
        <v>76.600000000000023</v>
      </c>
      <c r="H5" s="106">
        <f t="shared" ref="H5:H21" si="4">(F5-$M$22)^2</f>
        <v>83.237463801249532</v>
      </c>
      <c r="I5" s="106">
        <f t="shared" ref="I5:I28" si="5">(G5-$M$23)^2</f>
        <v>375.73945600000081</v>
      </c>
      <c r="K5" s="13"/>
      <c r="L5" s="13" t="s">
        <v>23</v>
      </c>
      <c r="M5" s="13"/>
      <c r="N5" s="13"/>
    </row>
    <row r="6" spans="1:14">
      <c r="B6" s="105">
        <v>534</v>
      </c>
      <c r="C6" s="105">
        <v>590</v>
      </c>
      <c r="D6" s="106">
        <f t="shared" si="0"/>
        <v>20.555555555555543</v>
      </c>
      <c r="E6" s="106">
        <f t="shared" si="1"/>
        <v>116.60000000000002</v>
      </c>
      <c r="F6" s="106">
        <f t="shared" si="2"/>
        <v>20.555555555555543</v>
      </c>
      <c r="G6" s="106">
        <f t="shared" si="3"/>
        <v>116.60000000000002</v>
      </c>
      <c r="H6" s="106">
        <f t="shared" si="4"/>
        <v>196.34583142813622</v>
      </c>
      <c r="I6" s="106">
        <f t="shared" si="5"/>
        <v>3526.4594560000028</v>
      </c>
    </row>
    <row r="7" spans="1:14">
      <c r="B7" s="105">
        <v>510</v>
      </c>
      <c r="C7" s="105">
        <v>434</v>
      </c>
      <c r="D7" s="106">
        <f t="shared" si="0"/>
        <v>-3.4444444444444571</v>
      </c>
      <c r="E7" s="106">
        <f t="shared" si="1"/>
        <v>-39.399999999999977</v>
      </c>
      <c r="F7" s="106">
        <f t="shared" si="2"/>
        <v>3.4444444444444571</v>
      </c>
      <c r="G7" s="106">
        <f t="shared" si="3"/>
        <v>39.399999999999977</v>
      </c>
      <c r="H7" s="106">
        <f t="shared" si="4"/>
        <v>968.66956256668095</v>
      </c>
      <c r="I7" s="106">
        <f t="shared" si="5"/>
        <v>317.40985600000084</v>
      </c>
      <c r="J7" s="11"/>
      <c r="K7" s="15" t="s">
        <v>24</v>
      </c>
      <c r="L7" s="16" t="s">
        <v>25</v>
      </c>
      <c r="M7" s="16"/>
      <c r="N7" s="16"/>
    </row>
    <row r="8" spans="1:14">
      <c r="B8" s="105">
        <v>445</v>
      </c>
      <c r="C8" s="105">
        <v>468</v>
      </c>
      <c r="D8" s="106">
        <f t="shared" si="0"/>
        <v>-68.444444444444457</v>
      </c>
      <c r="E8" s="106">
        <f t="shared" si="1"/>
        <v>-5.3999999999999773</v>
      </c>
      <c r="F8" s="106">
        <f t="shared" si="2"/>
        <v>68.444444444444457</v>
      </c>
      <c r="G8" s="106">
        <f t="shared" si="3"/>
        <v>5.3999999999999773</v>
      </c>
      <c r="H8" s="106">
        <f t="shared" si="4"/>
        <v>1147.6201798506336</v>
      </c>
      <c r="I8" s="106">
        <f t="shared" si="5"/>
        <v>2684.8978560000023</v>
      </c>
      <c r="K8" s="16"/>
      <c r="L8" s="16" t="s">
        <v>78</v>
      </c>
      <c r="M8" s="16"/>
      <c r="N8" s="16"/>
    </row>
    <row r="9" spans="1:14">
      <c r="B9" s="105">
        <v>550</v>
      </c>
      <c r="C9" s="105">
        <v>423</v>
      </c>
      <c r="D9" s="106">
        <f t="shared" si="0"/>
        <v>36.555555555555543</v>
      </c>
      <c r="E9" s="106">
        <f t="shared" si="1"/>
        <v>-50.399999999999977</v>
      </c>
      <c r="F9" s="106">
        <f t="shared" si="2"/>
        <v>36.555555555555543</v>
      </c>
      <c r="G9" s="106">
        <f t="shared" si="3"/>
        <v>50.399999999999977</v>
      </c>
      <c r="H9" s="106">
        <f t="shared" si="4"/>
        <v>3.9507696997408539</v>
      </c>
      <c r="I9" s="106">
        <f t="shared" si="5"/>
        <v>46.457856000000326</v>
      </c>
      <c r="K9" s="16"/>
      <c r="L9" s="16" t="s">
        <v>77</v>
      </c>
      <c r="M9" s="16"/>
      <c r="N9" s="16"/>
    </row>
    <row r="10" spans="1:14">
      <c r="B10" s="105">
        <v>540</v>
      </c>
      <c r="C10" s="105">
        <v>424</v>
      </c>
      <c r="D10" s="106">
        <f t="shared" si="0"/>
        <v>26.555555555555543</v>
      </c>
      <c r="E10" s="106">
        <f t="shared" si="1"/>
        <v>-49.399999999999977</v>
      </c>
      <c r="F10" s="106">
        <f t="shared" si="2"/>
        <v>26.555555555555543</v>
      </c>
      <c r="G10" s="106">
        <f t="shared" si="3"/>
        <v>49.399999999999977</v>
      </c>
      <c r="H10" s="106">
        <f t="shared" si="4"/>
        <v>64.19768327998797</v>
      </c>
      <c r="I10" s="106">
        <f t="shared" si="5"/>
        <v>61.089856000000374</v>
      </c>
      <c r="K10" s="16"/>
      <c r="L10" s="16"/>
      <c r="M10" s="16"/>
      <c r="N10" s="16"/>
    </row>
    <row r="11" spans="1:14">
      <c r="B11" s="105">
        <v>569</v>
      </c>
      <c r="C11" s="105">
        <v>434</v>
      </c>
      <c r="D11" s="106">
        <f t="shared" si="0"/>
        <v>55.555555555555543</v>
      </c>
      <c r="E11" s="106">
        <f t="shared" si="1"/>
        <v>-39.399999999999977</v>
      </c>
      <c r="F11" s="106">
        <f t="shared" si="2"/>
        <v>55.555555555555543</v>
      </c>
      <c r="G11" s="106">
        <f t="shared" si="3"/>
        <v>39.399999999999977</v>
      </c>
      <c r="H11" s="106">
        <f t="shared" si="4"/>
        <v>440.48163389727137</v>
      </c>
      <c r="I11" s="106">
        <f t="shared" si="5"/>
        <v>317.40985600000084</v>
      </c>
    </row>
    <row r="12" spans="1:14">
      <c r="B12" s="105">
        <v>517</v>
      </c>
      <c r="C12" s="105">
        <v>560</v>
      </c>
      <c r="D12" s="106">
        <f t="shared" si="0"/>
        <v>3.5555555555555429</v>
      </c>
      <c r="E12" s="106">
        <f t="shared" si="1"/>
        <v>86.600000000000023</v>
      </c>
      <c r="F12" s="106">
        <f t="shared" si="2"/>
        <v>3.5555555555555429</v>
      </c>
      <c r="G12" s="106">
        <f t="shared" si="3"/>
        <v>86.600000000000023</v>
      </c>
      <c r="H12" s="106">
        <f t="shared" si="4"/>
        <v>961.76558451455628</v>
      </c>
      <c r="I12" s="106">
        <f t="shared" si="5"/>
        <v>863.41945600000122</v>
      </c>
      <c r="K12" s="20" t="s">
        <v>32</v>
      </c>
      <c r="L12" s="21"/>
      <c r="M12" s="21"/>
      <c r="N12" s="21"/>
    </row>
    <row r="13" spans="1:14">
      <c r="B13" s="105">
        <v>445</v>
      </c>
      <c r="C13" s="105">
        <v>580</v>
      </c>
      <c r="D13" s="106">
        <f t="shared" si="0"/>
        <v>-68.444444444444457</v>
      </c>
      <c r="E13" s="106">
        <f t="shared" si="1"/>
        <v>106.60000000000002</v>
      </c>
      <c r="F13" s="106">
        <f t="shared" si="2"/>
        <v>68.444444444444457</v>
      </c>
      <c r="G13" s="106">
        <f t="shared" si="3"/>
        <v>106.60000000000002</v>
      </c>
      <c r="H13" s="106">
        <f t="shared" si="4"/>
        <v>1147.6201798506336</v>
      </c>
      <c r="I13" s="106">
        <f t="shared" si="5"/>
        <v>2438.779456000002</v>
      </c>
      <c r="K13" s="20"/>
      <c r="L13" s="122" t="s">
        <v>33</v>
      </c>
      <c r="M13" s="118">
        <v>0.05</v>
      </c>
      <c r="N13" s="21"/>
    </row>
    <row r="14" spans="1:14">
      <c r="B14" s="105">
        <v>540</v>
      </c>
      <c r="C14" s="105">
        <v>440</v>
      </c>
      <c r="D14" s="106">
        <f t="shared" si="0"/>
        <v>26.555555555555543</v>
      </c>
      <c r="E14" s="106">
        <f t="shared" si="1"/>
        <v>-33.399999999999977</v>
      </c>
      <c r="F14" s="106">
        <f t="shared" si="2"/>
        <v>26.555555555555543</v>
      </c>
      <c r="G14" s="106">
        <f t="shared" si="3"/>
        <v>33.399999999999977</v>
      </c>
      <c r="H14" s="106">
        <f t="shared" si="4"/>
        <v>64.19768327998797</v>
      </c>
      <c r="I14" s="106">
        <f t="shared" si="5"/>
        <v>567.20185600000116</v>
      </c>
      <c r="K14" s="22"/>
      <c r="L14" s="23"/>
    </row>
    <row r="15" spans="1:14">
      <c r="B15" s="105">
        <v>523</v>
      </c>
      <c r="C15" s="105">
        <v>458</v>
      </c>
      <c r="D15" s="106">
        <f t="shared" si="0"/>
        <v>9.5555555555555429</v>
      </c>
      <c r="E15" s="106">
        <f t="shared" si="1"/>
        <v>-15.399999999999977</v>
      </c>
      <c r="F15" s="106">
        <f t="shared" si="2"/>
        <v>9.5555555555555429</v>
      </c>
      <c r="G15" s="106">
        <f t="shared" si="3"/>
        <v>15.399999999999977</v>
      </c>
      <c r="H15" s="106">
        <f t="shared" si="4"/>
        <v>625.61743636640801</v>
      </c>
      <c r="I15" s="106">
        <f t="shared" si="5"/>
        <v>1748.5778560000019</v>
      </c>
      <c r="K15" s="25" t="s">
        <v>34</v>
      </c>
      <c r="L15" s="26"/>
      <c r="M15" s="26"/>
      <c r="N15" s="26"/>
    </row>
    <row r="16" spans="1:14">
      <c r="B16" s="105">
        <v>500</v>
      </c>
      <c r="C16" s="105">
        <v>465</v>
      </c>
      <c r="D16" s="106">
        <f t="shared" si="0"/>
        <v>-13.444444444444457</v>
      </c>
      <c r="E16" s="106">
        <f t="shared" si="1"/>
        <v>-8.3999999999999773</v>
      </c>
      <c r="F16" s="106">
        <f t="shared" si="2"/>
        <v>13.444444444444457</v>
      </c>
      <c r="G16" s="106">
        <f t="shared" si="3"/>
        <v>8.3999999999999773</v>
      </c>
      <c r="H16" s="106">
        <f t="shared" si="4"/>
        <v>446.20042676421212</v>
      </c>
      <c r="I16" s="106">
        <f t="shared" si="5"/>
        <v>2383.0018560000021</v>
      </c>
      <c r="K16" s="26"/>
      <c r="L16" s="112" t="s">
        <v>89</v>
      </c>
      <c r="M16" s="113">
        <f>COUNTA(B3:C3)</f>
        <v>2</v>
      </c>
      <c r="N16" s="28" t="s">
        <v>101</v>
      </c>
    </row>
    <row r="17" spans="2:15">
      <c r="B17" s="105">
        <v>528</v>
      </c>
      <c r="C17" s="105">
        <v>420</v>
      </c>
      <c r="D17" s="106">
        <f t="shared" si="0"/>
        <v>14.555555555555543</v>
      </c>
      <c r="E17" s="106">
        <f t="shared" si="1"/>
        <v>-53.399999999999977</v>
      </c>
      <c r="F17" s="106">
        <f t="shared" si="2"/>
        <v>14.555555555555543</v>
      </c>
      <c r="G17" s="106">
        <f t="shared" si="3"/>
        <v>53.399999999999977</v>
      </c>
      <c r="H17" s="106">
        <f t="shared" si="4"/>
        <v>400.49397957628452</v>
      </c>
      <c r="I17" s="106">
        <f t="shared" si="5"/>
        <v>14.561856000000182</v>
      </c>
      <c r="K17" s="29"/>
      <c r="L17" s="112" t="s">
        <v>81</v>
      </c>
      <c r="M17" s="112">
        <f>COUNT(B4:B21)</f>
        <v>18</v>
      </c>
      <c r="N17" s="28" t="s">
        <v>36</v>
      </c>
    </row>
    <row r="18" spans="2:15">
      <c r="B18" s="105">
        <v>588</v>
      </c>
      <c r="C18" s="105">
        <v>420</v>
      </c>
      <c r="D18" s="106">
        <f t="shared" si="0"/>
        <v>74.555555555555543</v>
      </c>
      <c r="E18" s="106">
        <f t="shared" si="1"/>
        <v>-53.399999999999977</v>
      </c>
      <c r="F18" s="106">
        <f t="shared" si="2"/>
        <v>74.555555555555543</v>
      </c>
      <c r="G18" s="106">
        <f t="shared" si="3"/>
        <v>53.399999999999977</v>
      </c>
      <c r="H18" s="106">
        <f t="shared" si="4"/>
        <v>1599.0124980948019</v>
      </c>
      <c r="I18" s="106">
        <f t="shared" si="5"/>
        <v>14.561856000000182</v>
      </c>
      <c r="K18" s="26"/>
      <c r="L18" s="112" t="s">
        <v>82</v>
      </c>
      <c r="M18" s="113">
        <f>COUNT(C4:C28)</f>
        <v>25</v>
      </c>
      <c r="N18" s="28" t="s">
        <v>38</v>
      </c>
    </row>
    <row r="19" spans="2:15">
      <c r="B19" s="105">
        <v>468</v>
      </c>
      <c r="C19" s="105">
        <v>580</v>
      </c>
      <c r="D19" s="106">
        <f t="shared" si="0"/>
        <v>-45.444444444444457</v>
      </c>
      <c r="E19" s="106">
        <f t="shared" si="1"/>
        <v>106.60000000000002</v>
      </c>
      <c r="F19" s="106">
        <f t="shared" si="2"/>
        <v>45.444444444444457</v>
      </c>
      <c r="G19" s="106">
        <f t="shared" si="3"/>
        <v>106.60000000000002</v>
      </c>
      <c r="H19" s="106">
        <f t="shared" si="4"/>
        <v>118.29919219631188</v>
      </c>
      <c r="I19" s="106">
        <f t="shared" si="5"/>
        <v>2438.779456000002</v>
      </c>
      <c r="K19" s="26"/>
      <c r="L19" s="112" t="s">
        <v>83</v>
      </c>
      <c r="M19" s="113">
        <f>M17+M18</f>
        <v>43</v>
      </c>
      <c r="N19" s="28" t="s">
        <v>102</v>
      </c>
    </row>
    <row r="20" spans="2:15">
      <c r="B20" s="105">
        <v>520</v>
      </c>
      <c r="C20" s="105">
        <v>432</v>
      </c>
      <c r="D20" s="106">
        <f t="shared" si="0"/>
        <v>6.5555555555555429</v>
      </c>
      <c r="E20" s="106">
        <f t="shared" si="1"/>
        <v>-41.399999999999977</v>
      </c>
      <c r="F20" s="106">
        <f t="shared" si="2"/>
        <v>6.5555555555555429</v>
      </c>
      <c r="G20" s="106">
        <f t="shared" si="3"/>
        <v>41.399999999999977</v>
      </c>
      <c r="H20" s="106">
        <f t="shared" si="4"/>
        <v>784.69151044048215</v>
      </c>
      <c r="I20" s="106">
        <f t="shared" si="5"/>
        <v>250.14585600000075</v>
      </c>
      <c r="K20" s="26"/>
      <c r="L20" s="117" t="s">
        <v>79</v>
      </c>
      <c r="M20" s="118">
        <f>AVERAGE(B4:B21)</f>
        <v>513.44444444444446</v>
      </c>
      <c r="N20" s="28" t="s">
        <v>103</v>
      </c>
    </row>
    <row r="21" spans="2:15">
      <c r="B21" s="105">
        <v>550</v>
      </c>
      <c r="C21" s="105">
        <v>589</v>
      </c>
      <c r="D21" s="106">
        <f t="shared" si="0"/>
        <v>36.555555555555543</v>
      </c>
      <c r="E21" s="106">
        <f t="shared" si="1"/>
        <v>115.60000000000002</v>
      </c>
      <c r="F21" s="106">
        <f t="shared" si="2"/>
        <v>36.555555555555543</v>
      </c>
      <c r="G21" s="106">
        <f t="shared" si="3"/>
        <v>115.60000000000002</v>
      </c>
      <c r="H21" s="106">
        <f t="shared" si="4"/>
        <v>3.9507696997408539</v>
      </c>
      <c r="I21" s="106">
        <f t="shared" si="5"/>
        <v>3408.6914560000027</v>
      </c>
      <c r="K21" s="26"/>
      <c r="L21" s="117" t="s">
        <v>80</v>
      </c>
      <c r="M21" s="118">
        <f>AVERAGE(C4:C28)</f>
        <v>473.4</v>
      </c>
      <c r="N21" s="28" t="s">
        <v>104</v>
      </c>
    </row>
    <row r="22" spans="2:15">
      <c r="B22" s="105"/>
      <c r="C22" s="105">
        <v>424</v>
      </c>
      <c r="D22" s="106"/>
      <c r="E22" s="106">
        <f t="shared" si="1"/>
        <v>-49.399999999999977</v>
      </c>
      <c r="F22" s="106"/>
      <c r="G22" s="106">
        <f t="shared" si="3"/>
        <v>49.399999999999977</v>
      </c>
      <c r="H22" s="106"/>
      <c r="I22" s="106">
        <f t="shared" si="5"/>
        <v>61.089856000000374</v>
      </c>
      <c r="K22" s="26"/>
      <c r="L22" s="112" t="s">
        <v>96</v>
      </c>
      <c r="M22" s="119">
        <f>AVERAGE(F4:F21)</f>
        <v>34.567901234567898</v>
      </c>
      <c r="N22" s="44" t="s">
        <v>105</v>
      </c>
    </row>
    <row r="23" spans="2:15">
      <c r="B23" s="105"/>
      <c r="C23" s="105">
        <v>580</v>
      </c>
      <c r="D23" s="106"/>
      <c r="E23" s="106">
        <f t="shared" si="1"/>
        <v>106.60000000000002</v>
      </c>
      <c r="F23" s="106"/>
      <c r="G23" s="106">
        <f t="shared" si="3"/>
        <v>106.60000000000002</v>
      </c>
      <c r="H23" s="106"/>
      <c r="I23" s="106">
        <f t="shared" si="5"/>
        <v>2438.779456000002</v>
      </c>
      <c r="K23" s="26"/>
      <c r="L23" s="112" t="s">
        <v>97</v>
      </c>
      <c r="M23" s="119">
        <f>AVERAGE(G4:G28)</f>
        <v>57.216000000000001</v>
      </c>
      <c r="N23" s="44" t="s">
        <v>106</v>
      </c>
    </row>
    <row r="24" spans="2:15">
      <c r="B24" s="105"/>
      <c r="C24" s="105">
        <v>454</v>
      </c>
      <c r="D24" s="106"/>
      <c r="E24" s="106">
        <f t="shared" si="1"/>
        <v>-19.399999999999977</v>
      </c>
      <c r="F24" s="106"/>
      <c r="G24" s="106">
        <f t="shared" si="3"/>
        <v>19.399999999999977</v>
      </c>
      <c r="H24" s="106"/>
      <c r="I24" s="106">
        <f t="shared" si="5"/>
        <v>1430.0498560000019</v>
      </c>
      <c r="K24" s="26"/>
      <c r="L24" s="112" t="s">
        <v>98</v>
      </c>
      <c r="M24" s="120">
        <f>AVERAGE(F4:F21,G4:G28)</f>
        <v>47.735400516795877</v>
      </c>
      <c r="N24" s="44" t="s">
        <v>134</v>
      </c>
      <c r="O24" s="48"/>
    </row>
    <row r="25" spans="2:15">
      <c r="B25" s="105"/>
      <c r="C25" s="105">
        <v>420</v>
      </c>
      <c r="D25" s="106"/>
      <c r="E25" s="106">
        <f t="shared" si="1"/>
        <v>-53.399999999999977</v>
      </c>
      <c r="F25" s="106"/>
      <c r="G25" s="106">
        <f t="shared" si="3"/>
        <v>53.399999999999977</v>
      </c>
      <c r="H25" s="106"/>
      <c r="I25" s="106">
        <f t="shared" si="5"/>
        <v>14.561856000000182</v>
      </c>
      <c r="K25" s="26"/>
      <c r="L25" s="121" t="s">
        <v>99</v>
      </c>
      <c r="M25" s="115">
        <f>SUM(H4:H21)</f>
        <v>11747.528120713307</v>
      </c>
      <c r="N25" s="44" t="s">
        <v>107</v>
      </c>
    </row>
    <row r="26" spans="2:15">
      <c r="B26" s="105"/>
      <c r="C26" s="105">
        <v>423</v>
      </c>
      <c r="D26" s="106"/>
      <c r="E26" s="106">
        <f t="shared" si="1"/>
        <v>-50.399999999999977</v>
      </c>
      <c r="F26" s="106"/>
      <c r="G26" s="106">
        <f t="shared" si="3"/>
        <v>50.399999999999977</v>
      </c>
      <c r="H26" s="106"/>
      <c r="I26" s="106">
        <f t="shared" si="5"/>
        <v>46.457856000000326</v>
      </c>
      <c r="K26" s="30"/>
      <c r="L26" s="121" t="s">
        <v>100</v>
      </c>
      <c r="M26" s="115">
        <f>SUM(I4:I28)</f>
        <v>25714.233600000029</v>
      </c>
      <c r="N26" s="44" t="s">
        <v>108</v>
      </c>
    </row>
    <row r="27" spans="2:15">
      <c r="B27" s="105"/>
      <c r="C27" s="105">
        <v>420</v>
      </c>
      <c r="D27" s="106"/>
      <c r="E27" s="106">
        <f t="shared" si="1"/>
        <v>-53.399999999999977</v>
      </c>
      <c r="F27" s="106"/>
      <c r="G27" s="106">
        <f t="shared" si="3"/>
        <v>53.399999999999977</v>
      </c>
      <c r="H27" s="106"/>
      <c r="I27" s="106">
        <f t="shared" si="5"/>
        <v>14.561856000000182</v>
      </c>
      <c r="K27" s="30"/>
      <c r="L27" s="26"/>
      <c r="M27" s="26"/>
      <c r="N27" s="28"/>
    </row>
    <row r="28" spans="2:15">
      <c r="B28" s="105"/>
      <c r="C28" s="105">
        <v>415</v>
      </c>
      <c r="D28" s="106"/>
      <c r="E28" s="106">
        <f t="shared" si="1"/>
        <v>-58.399999999999977</v>
      </c>
      <c r="F28" s="106"/>
      <c r="G28" s="106">
        <f t="shared" si="3"/>
        <v>58.399999999999977</v>
      </c>
      <c r="H28" s="106"/>
      <c r="I28" s="106">
        <f t="shared" si="5"/>
        <v>1.4018559999999436</v>
      </c>
      <c r="K28" s="26"/>
      <c r="L28" s="27" t="s">
        <v>86</v>
      </c>
      <c r="M28" s="28"/>
      <c r="N28" s="28"/>
    </row>
    <row r="29" spans="2:15">
      <c r="B29" s="107"/>
      <c r="C29" s="105"/>
      <c r="D29" s="105"/>
      <c r="E29" s="105"/>
      <c r="F29" s="105"/>
      <c r="G29" s="105"/>
      <c r="H29" s="105"/>
      <c r="I29" s="105"/>
      <c r="K29" s="26"/>
      <c r="L29" s="117" t="s">
        <v>84</v>
      </c>
      <c r="M29" s="118">
        <f>((M19-M16)/(M16-1))*(M17*(M22-M24)^2+M18*(M23-M24)^2)/(M25+M26)</f>
        <v>5.8749370605734237</v>
      </c>
      <c r="N29" s="28" t="s">
        <v>109</v>
      </c>
    </row>
    <row r="30" spans="2:15">
      <c r="K30" s="43"/>
      <c r="L30" s="26"/>
      <c r="M30" s="26"/>
      <c r="N30" s="26"/>
    </row>
    <row r="31" spans="2:15">
      <c r="K31" s="30"/>
      <c r="L31" s="112" t="s">
        <v>87</v>
      </c>
      <c r="M31" s="119">
        <f>M16-1</f>
        <v>1</v>
      </c>
      <c r="N31" s="28" t="s">
        <v>110</v>
      </c>
    </row>
    <row r="32" spans="2:15">
      <c r="K32" s="26"/>
      <c r="L32" s="112" t="s">
        <v>88</v>
      </c>
      <c r="M32" s="119">
        <f>M19-M16</f>
        <v>41</v>
      </c>
      <c r="N32" s="28" t="s">
        <v>111</v>
      </c>
    </row>
    <row r="33" spans="11:17">
      <c r="K33" s="26"/>
      <c r="L33" s="117" t="s">
        <v>115</v>
      </c>
      <c r="M33" s="118">
        <f>_xlfn.F.DIST.RT(M29,M31,M32)</f>
        <v>1.9855456008735749E-2</v>
      </c>
      <c r="N33" s="28" t="s">
        <v>114</v>
      </c>
    </row>
    <row r="34" spans="11:17">
      <c r="K34" s="26"/>
      <c r="L34" s="117" t="s">
        <v>113</v>
      </c>
      <c r="M34" s="123">
        <f>_xlfn.F.INV.RT(M13,M31,M32)</f>
        <v>4.0785457312912969</v>
      </c>
      <c r="N34" s="47" t="s">
        <v>112</v>
      </c>
    </row>
    <row r="35" spans="11:17">
      <c r="K35" s="26"/>
      <c r="L35" s="27"/>
      <c r="M35" s="26"/>
      <c r="N35" s="28"/>
    </row>
    <row r="36" spans="11:17">
      <c r="K36" s="26"/>
      <c r="L36" s="26"/>
      <c r="M36" s="26"/>
      <c r="N36" s="26"/>
    </row>
    <row r="38" spans="11:17">
      <c r="L38" s="10" t="s">
        <v>116</v>
      </c>
    </row>
    <row r="41" spans="11:17">
      <c r="K41" t="s">
        <v>117</v>
      </c>
      <c r="L41"/>
      <c r="M41"/>
      <c r="N41"/>
      <c r="O41"/>
      <c r="P41"/>
      <c r="Q41"/>
    </row>
    <row r="42" spans="11:17">
      <c r="K42"/>
      <c r="L42"/>
      <c r="M42"/>
      <c r="N42"/>
      <c r="O42"/>
      <c r="P42"/>
      <c r="Q42"/>
    </row>
    <row r="43" spans="11:17" ht="16.5" thickBot="1">
      <c r="K43" t="s">
        <v>118</v>
      </c>
      <c r="L43"/>
      <c r="M43"/>
      <c r="N43"/>
      <c r="O43"/>
      <c r="P43"/>
      <c r="Q43"/>
    </row>
    <row r="44" spans="11:17">
      <c r="K44" s="5" t="s">
        <v>119</v>
      </c>
      <c r="L44" s="5" t="s">
        <v>120</v>
      </c>
      <c r="M44" s="5" t="s">
        <v>121</v>
      </c>
      <c r="N44" s="5" t="s">
        <v>122</v>
      </c>
      <c r="O44" s="5" t="s">
        <v>3</v>
      </c>
      <c r="P44"/>
      <c r="Q44"/>
    </row>
    <row r="45" spans="11:17">
      <c r="K45" s="3" t="s">
        <v>123</v>
      </c>
      <c r="L45" s="3">
        <v>18</v>
      </c>
      <c r="M45" s="3">
        <v>622.22222222222217</v>
      </c>
      <c r="N45" s="40">
        <v>34.567901234567898</v>
      </c>
      <c r="O45" s="3">
        <v>691.03106592431232</v>
      </c>
      <c r="P45"/>
      <c r="Q45"/>
    </row>
    <row r="46" spans="11:17" ht="16.5" thickBot="1">
      <c r="K46" s="4" t="s">
        <v>124</v>
      </c>
      <c r="L46" s="4">
        <v>25</v>
      </c>
      <c r="M46" s="4">
        <v>1430.4</v>
      </c>
      <c r="N46" s="46">
        <v>57.216000000000001</v>
      </c>
      <c r="O46" s="4">
        <v>1071.4263999999991</v>
      </c>
      <c r="P46"/>
      <c r="Q46"/>
    </row>
    <row r="47" spans="11:17">
      <c r="K47"/>
      <c r="L47"/>
      <c r="M47"/>
      <c r="N47"/>
      <c r="O47"/>
      <c r="P47"/>
      <c r="Q47"/>
    </row>
    <row r="48" spans="11:17">
      <c r="K48"/>
      <c r="L48"/>
      <c r="M48"/>
      <c r="N48"/>
      <c r="O48"/>
      <c r="P48"/>
      <c r="Q48"/>
    </row>
    <row r="49" spans="11:17" ht="16.5" thickBot="1">
      <c r="K49" t="s">
        <v>125</v>
      </c>
      <c r="L49"/>
      <c r="M49"/>
      <c r="N49"/>
      <c r="O49"/>
      <c r="P49"/>
      <c r="Q49"/>
    </row>
    <row r="50" spans="11:17">
      <c r="K50" s="5" t="s">
        <v>126</v>
      </c>
      <c r="L50" s="5" t="s">
        <v>127</v>
      </c>
      <c r="M50" s="5" t="s">
        <v>5</v>
      </c>
      <c r="N50" s="5" t="s">
        <v>128</v>
      </c>
      <c r="O50" s="5" t="s">
        <v>6</v>
      </c>
      <c r="P50" s="5" t="s">
        <v>129</v>
      </c>
      <c r="Q50" s="5" t="s">
        <v>130</v>
      </c>
    </row>
    <row r="51" spans="11:17">
      <c r="K51" s="3" t="s">
        <v>131</v>
      </c>
      <c r="L51" s="3">
        <v>5367.93883627779</v>
      </c>
      <c r="M51" s="40">
        <v>1</v>
      </c>
      <c r="N51" s="3">
        <v>5367.93883627779</v>
      </c>
      <c r="O51" s="40">
        <v>5.8749370605734175</v>
      </c>
      <c r="P51" s="40">
        <v>1.9855456008735815E-2</v>
      </c>
      <c r="Q51" s="40">
        <v>4.0785457312912969</v>
      </c>
    </row>
    <row r="52" spans="11:17">
      <c r="K52" s="3" t="s">
        <v>132</v>
      </c>
      <c r="L52" s="3">
        <v>37461.761720713337</v>
      </c>
      <c r="M52" s="40">
        <v>41</v>
      </c>
      <c r="N52" s="3">
        <v>913.70150538325208</v>
      </c>
      <c r="O52" s="3"/>
      <c r="P52" s="3"/>
      <c r="Q52" s="3"/>
    </row>
    <row r="53" spans="11:17">
      <c r="K53" s="3"/>
      <c r="L53" s="3"/>
      <c r="M53" s="3"/>
      <c r="N53" s="3"/>
      <c r="O53" s="3"/>
      <c r="P53" s="3"/>
      <c r="Q53" s="3"/>
    </row>
    <row r="54" spans="11:17" ht="16.5" thickBot="1">
      <c r="K54" s="4" t="s">
        <v>133</v>
      </c>
      <c r="L54" s="4">
        <v>42829.700556991127</v>
      </c>
      <c r="M54" s="4">
        <v>42</v>
      </c>
      <c r="N54" s="4"/>
      <c r="O54" s="4"/>
      <c r="P54" s="4"/>
      <c r="Q54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scale="4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3EEDD-6F05-4771-8979-A93639A47E23}">
  <sheetPr>
    <pageSetUpPr fitToPage="1"/>
  </sheetPr>
  <dimension ref="A1:K49"/>
  <sheetViews>
    <sheetView workbookViewId="0">
      <selection activeCell="A2" sqref="A2"/>
    </sheetView>
  </sheetViews>
  <sheetFormatPr defaultColWidth="9.140625" defaultRowHeight="12.75"/>
  <cols>
    <col min="1" max="1" width="5.42578125" style="49" customWidth="1"/>
    <col min="2" max="4" width="9.140625" style="49"/>
    <col min="5" max="5" width="31.5703125" style="49" customWidth="1"/>
    <col min="6" max="6" width="37.5703125" style="49" customWidth="1"/>
    <col min="7" max="7" width="17.28515625" style="49" customWidth="1"/>
    <col min="8" max="8" width="47.7109375" style="49" customWidth="1"/>
    <col min="9" max="9" width="19.140625" style="49" customWidth="1"/>
    <col min="10" max="10" width="17.42578125" style="49" customWidth="1"/>
    <col min="11" max="11" width="19" style="49" customWidth="1"/>
    <col min="12" max="16384" width="9.140625" style="49"/>
  </cols>
  <sheetData>
    <row r="1" spans="1:11">
      <c r="A1" s="49" t="s">
        <v>231</v>
      </c>
    </row>
    <row r="3" spans="1:11">
      <c r="B3" s="50" t="s">
        <v>147</v>
      </c>
      <c r="C3" s="50" t="s">
        <v>148</v>
      </c>
      <c r="D3" s="51" t="s">
        <v>149</v>
      </c>
      <c r="E3" s="49" t="s">
        <v>150</v>
      </c>
    </row>
    <row r="4" spans="1:11" ht="14.25">
      <c r="B4" s="52">
        <v>51</v>
      </c>
      <c r="C4" s="52">
        <v>71</v>
      </c>
      <c r="F4" s="49" t="s">
        <v>151</v>
      </c>
    </row>
    <row r="5" spans="1:11" ht="14.25">
      <c r="B5" s="52">
        <v>66</v>
      </c>
      <c r="C5" s="52">
        <v>69</v>
      </c>
      <c r="F5" s="49" t="s">
        <v>152</v>
      </c>
    </row>
    <row r="6" spans="1:11">
      <c r="B6" s="52">
        <v>50</v>
      </c>
      <c r="C6" s="52">
        <v>63</v>
      </c>
      <c r="F6" s="49" t="s">
        <v>25</v>
      </c>
    </row>
    <row r="7" spans="1:11">
      <c r="B7" s="52">
        <v>48</v>
      </c>
      <c r="C7" s="52">
        <v>66</v>
      </c>
      <c r="D7" s="53"/>
      <c r="E7" s="49" t="s">
        <v>153</v>
      </c>
      <c r="F7" s="49" t="s">
        <v>27</v>
      </c>
    </row>
    <row r="8" spans="1:11">
      <c r="B8" s="52">
        <v>63</v>
      </c>
      <c r="C8" s="52">
        <v>68</v>
      </c>
      <c r="F8" s="49" t="s">
        <v>29</v>
      </c>
    </row>
    <row r="9" spans="1:11">
      <c r="B9" s="52">
        <v>45</v>
      </c>
      <c r="C9" s="52">
        <v>61</v>
      </c>
      <c r="E9" s="49" t="s">
        <v>154</v>
      </c>
      <c r="F9" s="54" t="s">
        <v>155</v>
      </c>
      <c r="G9" s="55">
        <v>0.05</v>
      </c>
      <c r="I9" s="51" t="s">
        <v>156</v>
      </c>
      <c r="J9" s="56">
        <v>0.05</v>
      </c>
    </row>
    <row r="10" spans="1:11">
      <c r="B10" s="52">
        <v>35</v>
      </c>
      <c r="C10" s="52">
        <v>53</v>
      </c>
      <c r="I10" s="51" t="s">
        <v>157</v>
      </c>
      <c r="J10" s="56">
        <f>J9/2</f>
        <v>2.5000000000000001E-2</v>
      </c>
      <c r="K10" s="57" t="s">
        <v>158</v>
      </c>
    </row>
    <row r="11" spans="1:11" ht="14.25">
      <c r="B11" s="52">
        <v>36</v>
      </c>
      <c r="C11" s="52">
        <v>59</v>
      </c>
      <c r="E11" s="49" t="s">
        <v>159</v>
      </c>
      <c r="F11" s="54" t="s">
        <v>160</v>
      </c>
      <c r="G11" s="55">
        <f>COUNT(B4:B20)</f>
        <v>17</v>
      </c>
      <c r="H11" s="58" t="s">
        <v>161</v>
      </c>
    </row>
    <row r="12" spans="1:11" ht="14.25">
      <c r="B12" s="52">
        <v>9</v>
      </c>
      <c r="C12" s="52">
        <v>65</v>
      </c>
      <c r="E12" s="59"/>
      <c r="F12" s="54" t="s">
        <v>162</v>
      </c>
      <c r="G12" s="55">
        <f>COUNT(C4:C30)</f>
        <v>27</v>
      </c>
      <c r="H12" s="58" t="s">
        <v>163</v>
      </c>
      <c r="I12" s="49" t="s">
        <v>164</v>
      </c>
    </row>
    <row r="13" spans="1:11" ht="15" thickBot="1">
      <c r="B13" s="52">
        <v>68</v>
      </c>
      <c r="C13" s="52">
        <v>55</v>
      </c>
      <c r="F13" s="54" t="s">
        <v>165</v>
      </c>
      <c r="G13" s="55">
        <f>_xlfn.STDEV.S(B4:B20)</f>
        <v>17.124973164427242</v>
      </c>
      <c r="H13" s="58" t="s">
        <v>166</v>
      </c>
    </row>
    <row r="14" spans="1:11" ht="14.25">
      <c r="B14" s="52">
        <v>39</v>
      </c>
      <c r="C14" s="52">
        <v>48</v>
      </c>
      <c r="F14" s="54" t="s">
        <v>167</v>
      </c>
      <c r="G14" s="55">
        <f>_xlfn.STDEV.S(C4:C30)</f>
        <v>9.8214835163298257</v>
      </c>
      <c r="H14" s="58" t="s">
        <v>168</v>
      </c>
      <c r="I14" s="60"/>
      <c r="J14" s="60" t="s">
        <v>0</v>
      </c>
      <c r="K14" s="60" t="s">
        <v>1</v>
      </c>
    </row>
    <row r="15" spans="1:11" ht="18.75">
      <c r="B15" s="52">
        <v>48</v>
      </c>
      <c r="C15" s="52">
        <v>66</v>
      </c>
      <c r="F15" s="126" t="s">
        <v>169</v>
      </c>
      <c r="G15" s="126"/>
      <c r="I15" s="61" t="s">
        <v>2</v>
      </c>
      <c r="J15" s="61">
        <v>49.529411764705884</v>
      </c>
      <c r="K15" s="61">
        <v>59.333333333333336</v>
      </c>
    </row>
    <row r="16" spans="1:11" ht="14.25">
      <c r="B16" s="52">
        <v>54</v>
      </c>
      <c r="C16" s="52">
        <v>43</v>
      </c>
      <c r="F16" s="62" t="s">
        <v>170</v>
      </c>
      <c r="G16" s="63">
        <f>G13^2/G14^2</f>
        <v>3.0402242236607582</v>
      </c>
      <c r="H16" s="58" t="s">
        <v>171</v>
      </c>
      <c r="I16" s="61" t="s">
        <v>3</v>
      </c>
      <c r="J16" s="61">
        <v>293.26470588235316</v>
      </c>
      <c r="K16" s="61">
        <v>96.461538461538467</v>
      </c>
    </row>
    <row r="17" spans="2:11">
      <c r="B17" s="52">
        <v>35</v>
      </c>
      <c r="C17" s="52">
        <v>34</v>
      </c>
      <c r="F17" s="54" t="s">
        <v>172</v>
      </c>
      <c r="G17" s="55"/>
      <c r="H17" s="55"/>
      <c r="I17" s="61" t="s">
        <v>4</v>
      </c>
      <c r="J17" s="61">
        <v>17</v>
      </c>
      <c r="K17" s="61">
        <v>27</v>
      </c>
    </row>
    <row r="18" spans="2:11" ht="14.25">
      <c r="B18" s="52">
        <v>68</v>
      </c>
      <c r="C18" s="52">
        <v>57</v>
      </c>
      <c r="F18" s="54" t="s">
        <v>173</v>
      </c>
      <c r="G18" s="55">
        <f>G11-1</f>
        <v>16</v>
      </c>
      <c r="H18" s="58" t="s">
        <v>174</v>
      </c>
      <c r="I18" s="61" t="s">
        <v>5</v>
      </c>
      <c r="J18" s="61">
        <v>16</v>
      </c>
      <c r="K18" s="61">
        <v>26</v>
      </c>
    </row>
    <row r="19" spans="2:11" ht="14.25">
      <c r="B19" s="52">
        <v>83</v>
      </c>
      <c r="C19" s="52">
        <v>58</v>
      </c>
      <c r="F19" s="54" t="s">
        <v>175</v>
      </c>
      <c r="G19" s="55">
        <f>G12-1</f>
        <v>26</v>
      </c>
      <c r="H19" s="58" t="s">
        <v>176</v>
      </c>
      <c r="I19" s="64" t="s">
        <v>6</v>
      </c>
      <c r="J19" s="64">
        <v>3.0402242236607582</v>
      </c>
      <c r="K19" s="61"/>
    </row>
    <row r="20" spans="2:11">
      <c r="B20" s="52">
        <v>44</v>
      </c>
      <c r="C20" s="52">
        <v>61</v>
      </c>
      <c r="F20" s="62" t="s">
        <v>50</v>
      </c>
      <c r="G20" s="63">
        <f>2*_xlfn.F.DIST.RT(G16,G18,G19)</f>
        <v>1.1481204036509669E-2</v>
      </c>
      <c r="H20" s="58" t="s">
        <v>177</v>
      </c>
      <c r="I20" s="64" t="s">
        <v>7</v>
      </c>
      <c r="J20" s="64">
        <v>5.7406020182548343E-3</v>
      </c>
      <c r="K20" s="61"/>
    </row>
    <row r="21" spans="2:11" ht="13.5" thickBot="1">
      <c r="B21" s="52"/>
      <c r="C21" s="52">
        <v>58</v>
      </c>
      <c r="F21" s="65" t="s">
        <v>178</v>
      </c>
      <c r="G21" s="66">
        <f>_xlfn.F.INV.RT(G9/2,G18,G19)</f>
        <v>2.359684437791536</v>
      </c>
      <c r="H21" s="58" t="s">
        <v>179</v>
      </c>
      <c r="I21" s="67" t="s">
        <v>8</v>
      </c>
      <c r="J21" s="67">
        <v>2.359684437791536</v>
      </c>
      <c r="K21" s="68"/>
    </row>
    <row r="22" spans="2:11">
      <c r="B22" s="52"/>
      <c r="C22" s="52">
        <v>77</v>
      </c>
      <c r="F22" s="69" t="s">
        <v>180</v>
      </c>
      <c r="G22" s="70">
        <f>_xlfn.F.INV(G9/2,G19,G18)</f>
        <v>0.42378547910241549</v>
      </c>
      <c r="H22" s="58" t="s">
        <v>181</v>
      </c>
    </row>
    <row r="23" spans="2:11" ht="14.25">
      <c r="B23" s="52"/>
      <c r="C23" s="52">
        <v>73</v>
      </c>
      <c r="F23" s="51" t="s">
        <v>182</v>
      </c>
      <c r="G23" s="49">
        <f>1/G21</f>
        <v>0.42378547910241549</v>
      </c>
      <c r="H23" s="57" t="s">
        <v>183</v>
      </c>
      <c r="I23" s="71" t="s">
        <v>11</v>
      </c>
      <c r="J23" s="72">
        <f>J20*2</f>
        <v>1.1481204036509669E-2</v>
      </c>
      <c r="K23" s="57" t="s">
        <v>184</v>
      </c>
    </row>
    <row r="24" spans="2:11">
      <c r="B24" s="52"/>
      <c r="C24" s="52">
        <v>63</v>
      </c>
      <c r="I24" s="73" t="s">
        <v>185</v>
      </c>
    </row>
    <row r="25" spans="2:11">
      <c r="B25" s="52"/>
      <c r="C25" s="52">
        <v>48</v>
      </c>
      <c r="E25" s="49" t="s">
        <v>186</v>
      </c>
    </row>
    <row r="26" spans="2:11" ht="14.25">
      <c r="B26" s="52"/>
      <c r="C26" s="52">
        <v>47</v>
      </c>
      <c r="E26" s="49" t="s">
        <v>187</v>
      </c>
    </row>
    <row r="27" spans="2:11">
      <c r="B27" s="52"/>
      <c r="C27" s="52">
        <v>53</v>
      </c>
      <c r="H27" s="57"/>
    </row>
    <row r="28" spans="2:11">
      <c r="B28" s="52"/>
      <c r="C28" s="52">
        <v>68</v>
      </c>
      <c r="H28" s="57"/>
    </row>
    <row r="29" spans="2:11">
      <c r="B29" s="52"/>
      <c r="C29" s="52">
        <v>64</v>
      </c>
      <c r="H29" s="57"/>
    </row>
    <row r="30" spans="2:11">
      <c r="B30" s="52"/>
      <c r="C30" s="52">
        <v>54</v>
      </c>
    </row>
    <row r="31" spans="2:11">
      <c r="D31" s="51" t="s">
        <v>188</v>
      </c>
      <c r="F31" s="54" t="s">
        <v>155</v>
      </c>
      <c r="G31" s="55">
        <v>0.01</v>
      </c>
    </row>
    <row r="32" spans="2:11">
      <c r="F32" s="71" t="s">
        <v>189</v>
      </c>
      <c r="G32" s="72">
        <f>2*_xlfn.F.DIST.RT(G16,G18,G19)</f>
        <v>1.1481204036509669E-2</v>
      </c>
      <c r="H32" s="58" t="s">
        <v>177</v>
      </c>
      <c r="I32" s="51" t="s">
        <v>156</v>
      </c>
      <c r="J32" s="49">
        <v>0.01</v>
      </c>
    </row>
    <row r="33" spans="5:11">
      <c r="F33" s="54" t="s">
        <v>190</v>
      </c>
      <c r="G33" s="55">
        <f>_xlfn.F.INV.RT(G31/2,G18,G19)</f>
        <v>3.1066579829067598</v>
      </c>
      <c r="H33" s="58" t="s">
        <v>191</v>
      </c>
    </row>
    <row r="34" spans="5:11">
      <c r="F34" s="54" t="s">
        <v>192</v>
      </c>
      <c r="G34" s="55">
        <f>_xlfn.F.INV(G31/2,G19,G18)</f>
        <v>0.32188931176271457</v>
      </c>
      <c r="H34" s="58" t="s">
        <v>193</v>
      </c>
    </row>
    <row r="35" spans="5:11" ht="14.25">
      <c r="E35" s="49" t="s">
        <v>186</v>
      </c>
      <c r="F35" s="51" t="s">
        <v>182</v>
      </c>
      <c r="G35" s="49">
        <f>1/G33</f>
        <v>0.32188931176271457</v>
      </c>
      <c r="H35" s="57" t="s">
        <v>194</v>
      </c>
      <c r="I35" s="51" t="s">
        <v>157</v>
      </c>
      <c r="J35" s="49">
        <f>J32/2</f>
        <v>5.0000000000000001E-3</v>
      </c>
      <c r="K35" s="57" t="s">
        <v>195</v>
      </c>
    </row>
    <row r="36" spans="5:11" ht="14.25">
      <c r="E36" s="49" t="s">
        <v>196</v>
      </c>
    </row>
    <row r="38" spans="5:11">
      <c r="I38" s="49" t="s">
        <v>164</v>
      </c>
    </row>
    <row r="39" spans="5:11" ht="13.5" thickBot="1"/>
    <row r="40" spans="5:11">
      <c r="I40" s="60"/>
      <c r="J40" s="60" t="s">
        <v>0</v>
      </c>
      <c r="K40" s="60" t="s">
        <v>1</v>
      </c>
    </row>
    <row r="41" spans="5:11">
      <c r="I41" s="61" t="s">
        <v>2</v>
      </c>
      <c r="J41" s="61">
        <v>49.529411764705884</v>
      </c>
      <c r="K41" s="61">
        <v>59.333333333333336</v>
      </c>
    </row>
    <row r="42" spans="5:11">
      <c r="I42" s="61" t="s">
        <v>3</v>
      </c>
      <c r="J42" s="61">
        <v>293.26470588235316</v>
      </c>
      <c r="K42" s="61">
        <v>96.461538461538467</v>
      </c>
    </row>
    <row r="43" spans="5:11">
      <c r="I43" s="61" t="s">
        <v>4</v>
      </c>
      <c r="J43" s="61">
        <v>17</v>
      </c>
      <c r="K43" s="61">
        <v>27</v>
      </c>
    </row>
    <row r="44" spans="5:11">
      <c r="I44" s="61" t="s">
        <v>5</v>
      </c>
      <c r="J44" s="61">
        <v>16</v>
      </c>
      <c r="K44" s="61">
        <v>26</v>
      </c>
    </row>
    <row r="45" spans="5:11">
      <c r="I45" s="64" t="s">
        <v>6</v>
      </c>
      <c r="J45" s="64">
        <v>3.0402242236607582</v>
      </c>
      <c r="K45" s="61"/>
    </row>
    <row r="46" spans="5:11">
      <c r="I46" s="64" t="s">
        <v>7</v>
      </c>
      <c r="J46" s="64">
        <v>5.7406020182548343E-3</v>
      </c>
      <c r="K46" s="61"/>
    </row>
    <row r="47" spans="5:11" ht="13.5" thickBot="1">
      <c r="I47" s="68" t="s">
        <v>8</v>
      </c>
      <c r="J47" s="68">
        <v>3.1066579829067598</v>
      </c>
      <c r="K47" s="68"/>
    </row>
    <row r="49" spans="9:11">
      <c r="I49" s="71" t="s">
        <v>197</v>
      </c>
      <c r="J49" s="72">
        <f>2*J46</f>
        <v>1.1481204036509669E-2</v>
      </c>
      <c r="K49" s="57" t="s">
        <v>198</v>
      </c>
    </row>
  </sheetData>
  <mergeCells count="1">
    <mergeCell ref="F15:G15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3AA96C-2F8F-46AE-A4BB-A7DC5513056A}">
  <sheetPr>
    <pageSetUpPr fitToPage="1"/>
  </sheetPr>
  <dimension ref="A1:K30"/>
  <sheetViews>
    <sheetView workbookViewId="0">
      <selection activeCell="C32" sqref="C32"/>
    </sheetView>
  </sheetViews>
  <sheetFormatPr defaultColWidth="9.140625" defaultRowHeight="15"/>
  <cols>
    <col min="1" max="1" width="5.7109375" style="74" customWidth="1"/>
    <col min="2" max="3" width="9.140625" style="74"/>
    <col min="4" max="4" width="6" style="74" customWidth="1"/>
    <col min="5" max="5" width="21.28515625" style="74" customWidth="1"/>
    <col min="6" max="6" width="25.85546875" style="74" customWidth="1"/>
    <col min="7" max="7" width="20" style="74" customWidth="1"/>
    <col min="8" max="8" width="36.140625" style="74" customWidth="1"/>
    <col min="9" max="9" width="17" style="74" customWidth="1"/>
    <col min="10" max="10" width="13.28515625" style="74" customWidth="1"/>
    <col min="11" max="11" width="18.42578125" style="74" customWidth="1"/>
    <col min="12" max="16384" width="9.140625" style="74"/>
  </cols>
  <sheetData>
    <row r="1" spans="1:11">
      <c r="A1" s="74" t="s">
        <v>232</v>
      </c>
    </row>
    <row r="3" spans="1:11">
      <c r="B3" s="75" t="s">
        <v>199</v>
      </c>
      <c r="C3" s="75" t="s">
        <v>200</v>
      </c>
      <c r="E3" s="74" t="s">
        <v>150</v>
      </c>
    </row>
    <row r="4" spans="1:11" ht="18">
      <c r="B4" s="76">
        <v>156.66999999999999</v>
      </c>
      <c r="C4" s="77">
        <v>127.16</v>
      </c>
      <c r="F4" s="74" t="s">
        <v>201</v>
      </c>
    </row>
    <row r="5" spans="1:11" ht="18.75">
      <c r="B5" s="76">
        <v>169.81</v>
      </c>
      <c r="C5" s="77">
        <v>101.85</v>
      </c>
      <c r="F5" s="74" t="s">
        <v>202</v>
      </c>
      <c r="I5" s="78" t="s">
        <v>203</v>
      </c>
      <c r="J5" s="78"/>
    </row>
    <row r="6" spans="1:11">
      <c r="B6" s="76">
        <v>130.74</v>
      </c>
      <c r="C6" s="77">
        <v>109.1</v>
      </c>
      <c r="F6" s="74" t="s">
        <v>204</v>
      </c>
    </row>
    <row r="7" spans="1:11">
      <c r="B7" s="76">
        <v>146.81</v>
      </c>
      <c r="C7" s="77">
        <v>124.94</v>
      </c>
      <c r="D7" s="79"/>
      <c r="E7" s="74" t="s">
        <v>153</v>
      </c>
      <c r="F7" s="80" t="s">
        <v>27</v>
      </c>
      <c r="I7" s="81" t="s">
        <v>164</v>
      </c>
      <c r="J7" s="81"/>
      <c r="K7" s="81"/>
    </row>
    <row r="8" spans="1:11" ht="15.75" thickBot="1">
      <c r="B8" s="76">
        <v>143.69</v>
      </c>
      <c r="C8" s="77">
        <v>110.93</v>
      </c>
      <c r="F8" s="74" t="s">
        <v>29</v>
      </c>
      <c r="I8" s="81"/>
      <c r="J8" s="81"/>
      <c r="K8" s="81"/>
    </row>
    <row r="9" spans="1:11">
      <c r="B9" s="76">
        <v>155.38</v>
      </c>
      <c r="C9" s="77">
        <v>132.91</v>
      </c>
      <c r="I9" s="5"/>
      <c r="J9" s="5" t="s">
        <v>0</v>
      </c>
      <c r="K9" s="5" t="s">
        <v>1</v>
      </c>
    </row>
    <row r="10" spans="1:11">
      <c r="B10" s="76">
        <v>147.28</v>
      </c>
      <c r="C10" s="77">
        <v>108.21</v>
      </c>
      <c r="E10" s="74" t="s">
        <v>154</v>
      </c>
      <c r="F10" s="82" t="s">
        <v>155</v>
      </c>
      <c r="G10" s="83">
        <v>0.05</v>
      </c>
      <c r="I10" s="84" t="s">
        <v>2</v>
      </c>
      <c r="J10" s="84">
        <v>121.52222222222223</v>
      </c>
      <c r="K10" s="84">
        <v>154.84</v>
      </c>
    </row>
    <row r="11" spans="1:11">
      <c r="B11" s="76">
        <v>140.66999999999999</v>
      </c>
      <c r="C11" s="77">
        <v>142.68</v>
      </c>
      <c r="I11" s="84" t="s">
        <v>3</v>
      </c>
      <c r="J11" s="84">
        <v>207.35164444444308</v>
      </c>
      <c r="K11" s="84">
        <v>166.09859999999998</v>
      </c>
    </row>
    <row r="12" spans="1:11" ht="18">
      <c r="B12" s="76">
        <v>157.58000000000001</v>
      </c>
      <c r="C12" s="77">
        <v>135.91999999999999</v>
      </c>
      <c r="E12" s="74" t="s">
        <v>159</v>
      </c>
      <c r="F12" s="82" t="s">
        <v>205</v>
      </c>
      <c r="G12" s="83">
        <f>COUNT(B4:B17)</f>
        <v>14</v>
      </c>
      <c r="H12" s="85" t="s">
        <v>206</v>
      </c>
      <c r="I12" s="84" t="s">
        <v>4</v>
      </c>
      <c r="J12" s="84">
        <v>9</v>
      </c>
      <c r="K12" s="84">
        <v>14</v>
      </c>
    </row>
    <row r="13" spans="1:11" ht="18">
      <c r="B13" s="76">
        <v>154.78</v>
      </c>
      <c r="C13" s="77"/>
      <c r="F13" s="82" t="s">
        <v>207</v>
      </c>
      <c r="G13" s="83">
        <f>COUNT(C4:C12)</f>
        <v>9</v>
      </c>
      <c r="H13" s="85" t="s">
        <v>208</v>
      </c>
      <c r="I13" s="84" t="s">
        <v>5</v>
      </c>
      <c r="J13" s="84">
        <v>8</v>
      </c>
      <c r="K13" s="84">
        <v>13</v>
      </c>
    </row>
    <row r="14" spans="1:11" ht="18">
      <c r="B14" s="76">
        <v>154.86000000000001</v>
      </c>
      <c r="C14" s="77"/>
      <c r="F14" s="82" t="s">
        <v>209</v>
      </c>
      <c r="G14" s="83">
        <f>_xlfn.STDEV.S(B4:B17)</f>
        <v>12.887924580784913</v>
      </c>
      <c r="H14" s="85" t="s">
        <v>210</v>
      </c>
      <c r="I14" s="86" t="s">
        <v>6</v>
      </c>
      <c r="J14" s="86">
        <v>1.2483647932278967</v>
      </c>
      <c r="K14" s="84"/>
    </row>
    <row r="15" spans="1:11" ht="18">
      <c r="B15" s="76">
        <v>179.89</v>
      </c>
      <c r="C15" s="77"/>
      <c r="E15" s="87"/>
      <c r="F15" s="82" t="s">
        <v>211</v>
      </c>
      <c r="G15" s="83">
        <f>_xlfn.STDEV.S(C4:C12)</f>
        <v>14.399709873620479</v>
      </c>
      <c r="H15" s="85" t="s">
        <v>212</v>
      </c>
      <c r="I15" s="88" t="s">
        <v>7</v>
      </c>
      <c r="J15" s="88">
        <v>0.34663579337387407</v>
      </c>
      <c r="K15" s="84"/>
    </row>
    <row r="16" spans="1:11" ht="19.5" thickBot="1">
      <c r="B16" s="76">
        <v>158.86000000000001</v>
      </c>
      <c r="C16" s="77"/>
      <c r="F16" s="126" t="s">
        <v>203</v>
      </c>
      <c r="G16" s="126"/>
      <c r="I16" s="89" t="s">
        <v>8</v>
      </c>
      <c r="J16" s="89">
        <v>2.766913181917749</v>
      </c>
      <c r="K16" s="89"/>
    </row>
    <row r="17" spans="2:11">
      <c r="B17" s="76">
        <v>170.74</v>
      </c>
      <c r="C17" s="77"/>
    </row>
    <row r="18" spans="2:11" ht="18">
      <c r="B18" s="79"/>
      <c r="F18" s="90" t="s">
        <v>213</v>
      </c>
      <c r="G18" s="91">
        <f>G15^2/G14^2</f>
        <v>1.2483647932278967</v>
      </c>
      <c r="H18" s="85" t="s">
        <v>214</v>
      </c>
    </row>
    <row r="19" spans="2:11">
      <c r="B19" s="79"/>
      <c r="F19" s="92" t="s">
        <v>172</v>
      </c>
    </row>
    <row r="20" spans="2:11" ht="18">
      <c r="B20" s="79"/>
      <c r="F20" s="82" t="s">
        <v>215</v>
      </c>
      <c r="G20" s="83">
        <f>G12-1</f>
        <v>13</v>
      </c>
      <c r="H20" s="85" t="s">
        <v>176</v>
      </c>
    </row>
    <row r="21" spans="2:11" ht="18">
      <c r="B21" s="79"/>
      <c r="F21" s="82" t="s">
        <v>216</v>
      </c>
      <c r="G21" s="83">
        <f>G13-1</f>
        <v>8</v>
      </c>
      <c r="H21" s="85" t="s">
        <v>217</v>
      </c>
    </row>
    <row r="22" spans="2:11">
      <c r="B22" s="79"/>
      <c r="E22" s="74" t="s">
        <v>218</v>
      </c>
      <c r="I22" s="90" t="s">
        <v>11</v>
      </c>
      <c r="J22" s="91">
        <f>J15*2</f>
        <v>0.69327158674774814</v>
      </c>
      <c r="K22" s="85" t="s">
        <v>219</v>
      </c>
    </row>
    <row r="23" spans="2:11">
      <c r="B23" s="79"/>
      <c r="F23" s="90" t="s">
        <v>50</v>
      </c>
      <c r="G23" s="91">
        <f>_xlfn.F.TEST(B4:B17,C4:C12)</f>
        <v>0.69327158674774036</v>
      </c>
      <c r="H23" s="85" t="s">
        <v>220</v>
      </c>
    </row>
    <row r="24" spans="2:11">
      <c r="F24" s="93" t="s">
        <v>178</v>
      </c>
      <c r="G24" s="94">
        <f>_xlfn.F.INV.RT(G10/2,G21,G20)</f>
        <v>3.387987325389608</v>
      </c>
      <c r="H24" s="85" t="s">
        <v>221</v>
      </c>
      <c r="I24" s="95" t="s">
        <v>186</v>
      </c>
      <c r="J24" s="95"/>
    </row>
    <row r="25" spans="2:11" ht="18">
      <c r="F25" s="96" t="s">
        <v>222</v>
      </c>
      <c r="G25" s="97">
        <f>1/G24</f>
        <v>0.2951604902727914</v>
      </c>
      <c r="H25" s="85" t="s">
        <v>183</v>
      </c>
      <c r="I25" s="95" t="s">
        <v>223</v>
      </c>
      <c r="J25" s="95"/>
    </row>
    <row r="27" spans="2:11">
      <c r="E27" s="98" t="s">
        <v>224</v>
      </c>
      <c r="F27" s="99" t="s">
        <v>12</v>
      </c>
      <c r="G27" s="100">
        <f>FDIST(G18,G21,G20)</f>
        <v>0.34663579337387407</v>
      </c>
      <c r="H27" s="101" t="s">
        <v>225</v>
      </c>
    </row>
    <row r="28" spans="2:11">
      <c r="E28" s="102"/>
      <c r="F28" s="103" t="s">
        <v>226</v>
      </c>
      <c r="G28" s="104">
        <f>FINV(1-G10,G21,G20)</f>
        <v>0.3068407787123873</v>
      </c>
      <c r="H28" s="101" t="s">
        <v>227</v>
      </c>
    </row>
    <row r="29" spans="2:11">
      <c r="E29" s="102" t="s">
        <v>228</v>
      </c>
      <c r="F29" s="99" t="s">
        <v>13</v>
      </c>
      <c r="G29" s="100">
        <f>_xlfn.F.DIST.RT(G10,G21,G20)</f>
        <v>0.99988594148309184</v>
      </c>
      <c r="H29" s="101" t="s">
        <v>229</v>
      </c>
    </row>
    <row r="30" spans="2:11">
      <c r="E30" s="102"/>
      <c r="F30" s="99" t="s">
        <v>76</v>
      </c>
      <c r="G30" s="100">
        <f>_xlfn.F.INV.RT(G10,G21,G20)</f>
        <v>2.766913181917749</v>
      </c>
      <c r="H30" s="101" t="s">
        <v>230</v>
      </c>
    </row>
  </sheetData>
  <mergeCells count="1">
    <mergeCell ref="F16:G16"/>
  </mergeCells>
  <printOptions headings="1" gridLines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1"/>
  <sheetViews>
    <sheetView zoomScale="75" zoomScaleNormal="75" workbookViewId="0">
      <selection activeCell="H32" sqref="H32"/>
    </sheetView>
  </sheetViews>
  <sheetFormatPr defaultColWidth="9.140625" defaultRowHeight="15.75"/>
  <cols>
    <col min="1" max="1" width="11.7109375" style="10" customWidth="1"/>
    <col min="2" max="2" width="13" style="10" customWidth="1"/>
    <col min="3" max="3" width="14.85546875" style="11" customWidth="1"/>
    <col min="4" max="4" width="26.7109375" style="11" customWidth="1"/>
    <col min="5" max="5" width="27.7109375" style="11" customWidth="1"/>
    <col min="6" max="6" width="22.42578125" style="11" customWidth="1"/>
    <col min="7" max="9" width="23.5703125" style="11" customWidth="1"/>
    <col min="10" max="10" width="9" style="10" customWidth="1"/>
    <col min="11" max="11" width="23.42578125" style="10" customWidth="1"/>
    <col min="12" max="12" width="51.85546875" style="10" customWidth="1"/>
    <col min="13" max="13" width="22.7109375" style="10" customWidth="1"/>
    <col min="14" max="14" width="77" style="10" customWidth="1"/>
    <col min="15" max="16384" width="9.140625" style="10"/>
  </cols>
  <sheetData>
    <row r="1" spans="1:14" ht="18.75">
      <c r="A1" s="45" t="s">
        <v>135</v>
      </c>
    </row>
    <row r="3" spans="1:14">
      <c r="B3" s="108" t="s">
        <v>18</v>
      </c>
      <c r="C3" s="108" t="s">
        <v>19</v>
      </c>
      <c r="D3" s="108" t="s">
        <v>136</v>
      </c>
      <c r="E3" s="108" t="s">
        <v>137</v>
      </c>
      <c r="F3" s="109" t="s">
        <v>92</v>
      </c>
      <c r="G3" s="109" t="s">
        <v>93</v>
      </c>
      <c r="H3" s="109" t="s">
        <v>94</v>
      </c>
      <c r="I3" s="109" t="s">
        <v>95</v>
      </c>
      <c r="K3" s="12" t="s">
        <v>20</v>
      </c>
      <c r="L3" s="13"/>
      <c r="M3" s="13"/>
      <c r="N3" s="13"/>
    </row>
    <row r="4" spans="1:14" ht="18.75">
      <c r="B4" s="105">
        <v>427</v>
      </c>
      <c r="C4" s="105">
        <v>432</v>
      </c>
      <c r="D4" s="106">
        <f>B4-$M$20</f>
        <v>-94.5</v>
      </c>
      <c r="E4" s="106">
        <f>C4-$M$21</f>
        <v>-2</v>
      </c>
      <c r="F4" s="106">
        <f>ABS(D4)</f>
        <v>94.5</v>
      </c>
      <c r="G4" s="106">
        <f>ABS(E4)</f>
        <v>2</v>
      </c>
      <c r="H4" s="106">
        <f>(F4-$M$22)^2</f>
        <v>3727.7808641975312</v>
      </c>
      <c r="I4" s="106">
        <f>(G4-$M$23)^2</f>
        <v>2216.5263999999997</v>
      </c>
      <c r="K4" s="13"/>
      <c r="L4" s="13" t="s">
        <v>22</v>
      </c>
      <c r="M4" s="13"/>
      <c r="N4" s="13"/>
    </row>
    <row r="5" spans="1:14" ht="18.75">
      <c r="B5" s="105">
        <v>488</v>
      </c>
      <c r="C5" s="105">
        <v>550</v>
      </c>
      <c r="D5" s="106">
        <f t="shared" ref="D5:D21" si="0">B5-$M$20</f>
        <v>-33.5</v>
      </c>
      <c r="E5" s="106">
        <f t="shared" ref="E5:E28" si="1">C5-$M$21</f>
        <v>116</v>
      </c>
      <c r="F5" s="106">
        <f t="shared" ref="F5:G21" si="2">ABS(D5)</f>
        <v>33.5</v>
      </c>
      <c r="G5" s="106">
        <f t="shared" si="2"/>
        <v>116</v>
      </c>
      <c r="H5" s="106">
        <f t="shared" ref="H5:H21" si="3">(F5-$M$22)^2</f>
        <v>3.0864197530865952E-3</v>
      </c>
      <c r="I5" s="106">
        <f t="shared" ref="I5:I28" si="4">(G5-$M$23)^2</f>
        <v>4478.2864</v>
      </c>
      <c r="K5" s="13"/>
      <c r="L5" s="13" t="s">
        <v>23</v>
      </c>
      <c r="M5" s="13"/>
      <c r="N5" s="13"/>
    </row>
    <row r="6" spans="1:14">
      <c r="B6" s="105">
        <v>534</v>
      </c>
      <c r="C6" s="105">
        <v>590</v>
      </c>
      <c r="D6" s="106">
        <f t="shared" si="0"/>
        <v>12.5</v>
      </c>
      <c r="E6" s="106">
        <f t="shared" si="1"/>
        <v>156</v>
      </c>
      <c r="F6" s="106">
        <f t="shared" si="2"/>
        <v>12.5</v>
      </c>
      <c r="G6" s="106">
        <f t="shared" si="2"/>
        <v>156</v>
      </c>
      <c r="H6" s="106">
        <f t="shared" si="3"/>
        <v>438.66975308641969</v>
      </c>
      <c r="I6" s="106">
        <f t="shared" si="4"/>
        <v>11431.886400000001</v>
      </c>
    </row>
    <row r="7" spans="1:14">
      <c r="B7" s="105">
        <v>510</v>
      </c>
      <c r="C7" s="105">
        <v>434</v>
      </c>
      <c r="D7" s="106">
        <f t="shared" si="0"/>
        <v>-11.5</v>
      </c>
      <c r="E7" s="106">
        <f t="shared" si="1"/>
        <v>0</v>
      </c>
      <c r="F7" s="106">
        <f t="shared" si="2"/>
        <v>11.5</v>
      </c>
      <c r="G7" s="106">
        <f t="shared" si="2"/>
        <v>0</v>
      </c>
      <c r="H7" s="106">
        <f t="shared" si="3"/>
        <v>481.55864197530855</v>
      </c>
      <c r="I7" s="106">
        <f t="shared" si="4"/>
        <v>2408.8463999999999</v>
      </c>
      <c r="J7" s="11"/>
      <c r="K7" s="15" t="s">
        <v>24</v>
      </c>
      <c r="L7" s="16" t="s">
        <v>25</v>
      </c>
      <c r="M7" s="16"/>
      <c r="N7" s="16"/>
    </row>
    <row r="8" spans="1:14">
      <c r="B8" s="105">
        <v>445</v>
      </c>
      <c r="C8" s="105">
        <v>468</v>
      </c>
      <c r="D8" s="106">
        <f t="shared" si="0"/>
        <v>-76.5</v>
      </c>
      <c r="E8" s="106">
        <f t="shared" si="1"/>
        <v>34</v>
      </c>
      <c r="F8" s="106">
        <f t="shared" si="2"/>
        <v>76.5</v>
      </c>
      <c r="G8" s="106">
        <f t="shared" si="2"/>
        <v>34</v>
      </c>
      <c r="H8" s="106">
        <f t="shared" si="3"/>
        <v>1853.7808641975309</v>
      </c>
      <c r="I8" s="106">
        <f t="shared" si="4"/>
        <v>227.40639999999996</v>
      </c>
      <c r="K8" s="16"/>
      <c r="L8" s="16" t="s">
        <v>78</v>
      </c>
      <c r="M8" s="16"/>
      <c r="N8" s="16"/>
    </row>
    <row r="9" spans="1:14">
      <c r="B9" s="105">
        <v>550</v>
      </c>
      <c r="C9" s="105">
        <v>423</v>
      </c>
      <c r="D9" s="106">
        <f t="shared" si="0"/>
        <v>28.5</v>
      </c>
      <c r="E9" s="106">
        <f t="shared" si="1"/>
        <v>-11</v>
      </c>
      <c r="F9" s="106">
        <f t="shared" si="2"/>
        <v>28.5</v>
      </c>
      <c r="G9" s="106">
        <f t="shared" si="2"/>
        <v>11</v>
      </c>
      <c r="H9" s="106">
        <f t="shared" si="3"/>
        <v>24.447530864197514</v>
      </c>
      <c r="I9" s="106">
        <f t="shared" si="4"/>
        <v>1450.0863999999999</v>
      </c>
      <c r="K9" s="16"/>
      <c r="L9" s="16" t="s">
        <v>77</v>
      </c>
      <c r="M9" s="16"/>
      <c r="N9" s="16"/>
    </row>
    <row r="10" spans="1:14">
      <c r="B10" s="105">
        <v>540</v>
      </c>
      <c r="C10" s="105">
        <v>424</v>
      </c>
      <c r="D10" s="106">
        <f t="shared" si="0"/>
        <v>18.5</v>
      </c>
      <c r="E10" s="106">
        <f t="shared" si="1"/>
        <v>-10</v>
      </c>
      <c r="F10" s="106">
        <f t="shared" si="2"/>
        <v>18.5</v>
      </c>
      <c r="G10" s="106">
        <f t="shared" si="2"/>
        <v>10</v>
      </c>
      <c r="H10" s="106">
        <f t="shared" si="3"/>
        <v>223.33641975308637</v>
      </c>
      <c r="I10" s="106">
        <f t="shared" si="4"/>
        <v>1527.2463999999998</v>
      </c>
      <c r="K10" s="16"/>
      <c r="L10" s="16"/>
      <c r="M10" s="16"/>
      <c r="N10" s="16"/>
    </row>
    <row r="11" spans="1:14">
      <c r="B11" s="105">
        <v>569</v>
      </c>
      <c r="C11" s="105">
        <v>434</v>
      </c>
      <c r="D11" s="106">
        <f t="shared" si="0"/>
        <v>47.5</v>
      </c>
      <c r="E11" s="106">
        <f t="shared" si="1"/>
        <v>0</v>
      </c>
      <c r="F11" s="106">
        <f t="shared" si="2"/>
        <v>47.5</v>
      </c>
      <c r="G11" s="106">
        <f t="shared" si="2"/>
        <v>0</v>
      </c>
      <c r="H11" s="106">
        <f t="shared" si="3"/>
        <v>197.55864197530869</v>
      </c>
      <c r="I11" s="106">
        <f t="shared" si="4"/>
        <v>2408.8463999999999</v>
      </c>
    </row>
    <row r="12" spans="1:14">
      <c r="B12" s="105">
        <v>517</v>
      </c>
      <c r="C12" s="105">
        <v>560</v>
      </c>
      <c r="D12" s="106">
        <f t="shared" si="0"/>
        <v>-4.5</v>
      </c>
      <c r="E12" s="106">
        <f t="shared" si="1"/>
        <v>126</v>
      </c>
      <c r="F12" s="106">
        <f t="shared" si="2"/>
        <v>4.5</v>
      </c>
      <c r="G12" s="106">
        <f t="shared" si="2"/>
        <v>126</v>
      </c>
      <c r="H12" s="106">
        <f t="shared" si="3"/>
        <v>837.78086419753072</v>
      </c>
      <c r="I12" s="106">
        <f t="shared" si="4"/>
        <v>5916.6864000000005</v>
      </c>
      <c r="K12" s="20" t="s">
        <v>32</v>
      </c>
      <c r="L12" s="21"/>
      <c r="M12" s="21"/>
      <c r="N12" s="21"/>
    </row>
    <row r="13" spans="1:14">
      <c r="B13" s="105">
        <v>445</v>
      </c>
      <c r="C13" s="105">
        <v>580</v>
      </c>
      <c r="D13" s="106">
        <f t="shared" si="0"/>
        <v>-76.5</v>
      </c>
      <c r="E13" s="106">
        <f t="shared" si="1"/>
        <v>146</v>
      </c>
      <c r="F13" s="106">
        <f t="shared" si="2"/>
        <v>76.5</v>
      </c>
      <c r="G13" s="106">
        <f t="shared" si="2"/>
        <v>146</v>
      </c>
      <c r="H13" s="106">
        <f t="shared" si="3"/>
        <v>1853.7808641975309</v>
      </c>
      <c r="I13" s="106">
        <f t="shared" si="4"/>
        <v>9393.4863999999998</v>
      </c>
      <c r="K13" s="20"/>
      <c r="L13" s="122" t="s">
        <v>33</v>
      </c>
      <c r="M13" s="118">
        <v>0.05</v>
      </c>
      <c r="N13" s="21"/>
    </row>
    <row r="14" spans="1:14">
      <c r="B14" s="105">
        <v>540</v>
      </c>
      <c r="C14" s="105">
        <v>440</v>
      </c>
      <c r="D14" s="106">
        <f t="shared" si="0"/>
        <v>18.5</v>
      </c>
      <c r="E14" s="106">
        <f t="shared" si="1"/>
        <v>6</v>
      </c>
      <c r="F14" s="106">
        <f t="shared" si="2"/>
        <v>18.5</v>
      </c>
      <c r="G14" s="106">
        <f t="shared" si="2"/>
        <v>6</v>
      </c>
      <c r="H14" s="106">
        <f t="shared" si="3"/>
        <v>223.33641975308637</v>
      </c>
      <c r="I14" s="106">
        <f t="shared" si="4"/>
        <v>1855.8863999999999</v>
      </c>
      <c r="K14" s="22"/>
      <c r="L14" s="23"/>
    </row>
    <row r="15" spans="1:14">
      <c r="B15" s="105">
        <v>523</v>
      </c>
      <c r="C15" s="105">
        <v>458</v>
      </c>
      <c r="D15" s="106">
        <f t="shared" si="0"/>
        <v>1.5</v>
      </c>
      <c r="E15" s="106">
        <f t="shared" si="1"/>
        <v>24</v>
      </c>
      <c r="F15" s="106">
        <f t="shared" si="2"/>
        <v>1.5</v>
      </c>
      <c r="G15" s="106">
        <f t="shared" si="2"/>
        <v>24</v>
      </c>
      <c r="H15" s="106">
        <f t="shared" si="3"/>
        <v>1020.4475308641975</v>
      </c>
      <c r="I15" s="106">
        <f t="shared" si="4"/>
        <v>629.00639999999987</v>
      </c>
      <c r="K15" s="25" t="s">
        <v>34</v>
      </c>
      <c r="L15" s="26"/>
      <c r="M15" s="26"/>
      <c r="N15" s="26"/>
    </row>
    <row r="16" spans="1:14">
      <c r="B16" s="105">
        <v>500</v>
      </c>
      <c r="C16" s="105">
        <v>465</v>
      </c>
      <c r="D16" s="106">
        <f t="shared" si="0"/>
        <v>-21.5</v>
      </c>
      <c r="E16" s="106">
        <f t="shared" si="1"/>
        <v>31</v>
      </c>
      <c r="F16" s="106">
        <f t="shared" si="2"/>
        <v>21.5</v>
      </c>
      <c r="G16" s="106">
        <f t="shared" si="2"/>
        <v>31</v>
      </c>
      <c r="H16" s="106">
        <f t="shared" si="3"/>
        <v>142.66975308641972</v>
      </c>
      <c r="I16" s="106">
        <f t="shared" si="4"/>
        <v>326.88639999999992</v>
      </c>
      <c r="K16" s="26"/>
      <c r="L16" s="112" t="s">
        <v>89</v>
      </c>
      <c r="M16" s="113">
        <f>COUNTA(B3:C3)</f>
        <v>2</v>
      </c>
      <c r="N16" s="28" t="s">
        <v>101</v>
      </c>
    </row>
    <row r="17" spans="2:15">
      <c r="B17" s="105">
        <v>528</v>
      </c>
      <c r="C17" s="105">
        <v>420</v>
      </c>
      <c r="D17" s="106">
        <f t="shared" si="0"/>
        <v>6.5</v>
      </c>
      <c r="E17" s="106">
        <f t="shared" si="1"/>
        <v>-14</v>
      </c>
      <c r="F17" s="106">
        <f t="shared" si="2"/>
        <v>6.5</v>
      </c>
      <c r="G17" s="106">
        <f t="shared" si="2"/>
        <v>14</v>
      </c>
      <c r="H17" s="106">
        <f t="shared" si="3"/>
        <v>726.003086419753</v>
      </c>
      <c r="I17" s="106">
        <f t="shared" si="4"/>
        <v>1230.6063999999999</v>
      </c>
      <c r="K17" s="29"/>
      <c r="L17" s="112" t="s">
        <v>81</v>
      </c>
      <c r="M17" s="112">
        <f>COUNT(B4:B21)</f>
        <v>18</v>
      </c>
      <c r="N17" s="28" t="s">
        <v>36</v>
      </c>
    </row>
    <row r="18" spans="2:15">
      <c r="B18" s="105">
        <v>588</v>
      </c>
      <c r="C18" s="105">
        <v>420</v>
      </c>
      <c r="D18" s="106">
        <f t="shared" si="0"/>
        <v>66.5</v>
      </c>
      <c r="E18" s="106">
        <f t="shared" si="1"/>
        <v>-14</v>
      </c>
      <c r="F18" s="106">
        <f t="shared" si="2"/>
        <v>66.5</v>
      </c>
      <c r="G18" s="106">
        <f t="shared" si="2"/>
        <v>14</v>
      </c>
      <c r="H18" s="106">
        <f t="shared" si="3"/>
        <v>1092.6697530864199</v>
      </c>
      <c r="I18" s="106">
        <f t="shared" si="4"/>
        <v>1230.6063999999999</v>
      </c>
      <c r="K18" s="26"/>
      <c r="L18" s="112" t="s">
        <v>82</v>
      </c>
      <c r="M18" s="113">
        <f>COUNT(C4:C28)</f>
        <v>25</v>
      </c>
      <c r="N18" s="28" t="s">
        <v>38</v>
      </c>
    </row>
    <row r="19" spans="2:15">
      <c r="B19" s="105">
        <v>468</v>
      </c>
      <c r="C19" s="105">
        <v>580</v>
      </c>
      <c r="D19" s="106">
        <f t="shared" si="0"/>
        <v>-53.5</v>
      </c>
      <c r="E19" s="106">
        <f t="shared" si="1"/>
        <v>146</v>
      </c>
      <c r="F19" s="106">
        <f t="shared" si="2"/>
        <v>53.5</v>
      </c>
      <c r="G19" s="106">
        <f t="shared" si="2"/>
        <v>146</v>
      </c>
      <c r="H19" s="106">
        <f t="shared" si="3"/>
        <v>402.22530864197535</v>
      </c>
      <c r="I19" s="106">
        <f t="shared" si="4"/>
        <v>9393.4863999999998</v>
      </c>
      <c r="K19" s="26"/>
      <c r="L19" s="112" t="s">
        <v>83</v>
      </c>
      <c r="M19" s="113">
        <f>M17+M18</f>
        <v>43</v>
      </c>
      <c r="N19" s="28" t="s">
        <v>102</v>
      </c>
    </row>
    <row r="20" spans="2:15">
      <c r="B20" s="105">
        <v>520</v>
      </c>
      <c r="C20" s="105">
        <v>432</v>
      </c>
      <c r="D20" s="106">
        <f t="shared" si="0"/>
        <v>-1.5</v>
      </c>
      <c r="E20" s="106">
        <f t="shared" si="1"/>
        <v>-2</v>
      </c>
      <c r="F20" s="106">
        <f t="shared" si="2"/>
        <v>1.5</v>
      </c>
      <c r="G20" s="106">
        <f t="shared" si="2"/>
        <v>2</v>
      </c>
      <c r="H20" s="106">
        <f t="shared" si="3"/>
        <v>1020.4475308641975</v>
      </c>
      <c r="I20" s="106">
        <f t="shared" si="4"/>
        <v>2216.5263999999997</v>
      </c>
      <c r="K20" s="26"/>
      <c r="L20" s="117" t="s">
        <v>138</v>
      </c>
      <c r="M20" s="118">
        <f>MEDIAN(B4:B21)</f>
        <v>521.5</v>
      </c>
      <c r="N20" s="28" t="s">
        <v>140</v>
      </c>
    </row>
    <row r="21" spans="2:15">
      <c r="B21" s="105">
        <v>550</v>
      </c>
      <c r="C21" s="105">
        <v>589</v>
      </c>
      <c r="D21" s="106">
        <f t="shared" si="0"/>
        <v>28.5</v>
      </c>
      <c r="E21" s="106">
        <f t="shared" si="1"/>
        <v>155</v>
      </c>
      <c r="F21" s="106">
        <f t="shared" si="2"/>
        <v>28.5</v>
      </c>
      <c r="G21" s="106">
        <f t="shared" si="2"/>
        <v>155</v>
      </c>
      <c r="H21" s="106">
        <f t="shared" si="3"/>
        <v>24.447530864197514</v>
      </c>
      <c r="I21" s="106">
        <f t="shared" si="4"/>
        <v>11219.046400000001</v>
      </c>
      <c r="K21" s="26"/>
      <c r="L21" s="117" t="s">
        <v>139</v>
      </c>
      <c r="M21" s="118">
        <f>MEDIAN(C4:C28)</f>
        <v>434</v>
      </c>
      <c r="N21" s="28" t="s">
        <v>141</v>
      </c>
    </row>
    <row r="22" spans="2:15">
      <c r="B22" s="105"/>
      <c r="C22" s="105">
        <v>424</v>
      </c>
      <c r="D22" s="106"/>
      <c r="E22" s="106">
        <f t="shared" si="1"/>
        <v>-10</v>
      </c>
      <c r="F22" s="106"/>
      <c r="G22" s="106">
        <f t="shared" ref="G22:G28" si="5">ABS(E22)</f>
        <v>10</v>
      </c>
      <c r="H22" s="106"/>
      <c r="I22" s="106">
        <f t="shared" si="4"/>
        <v>1527.2463999999998</v>
      </c>
      <c r="K22" s="26"/>
      <c r="L22" s="112" t="s">
        <v>96</v>
      </c>
      <c r="M22" s="119">
        <f>AVERAGE(F4:F21)</f>
        <v>33.444444444444443</v>
      </c>
      <c r="N22" s="44" t="s">
        <v>105</v>
      </c>
    </row>
    <row r="23" spans="2:15">
      <c r="B23" s="105"/>
      <c r="C23" s="105">
        <v>580</v>
      </c>
      <c r="D23" s="106"/>
      <c r="E23" s="106">
        <f t="shared" si="1"/>
        <v>146</v>
      </c>
      <c r="F23" s="106"/>
      <c r="G23" s="106">
        <f t="shared" si="5"/>
        <v>146</v>
      </c>
      <c r="H23" s="106"/>
      <c r="I23" s="106">
        <f t="shared" si="4"/>
        <v>9393.4863999999998</v>
      </c>
      <c r="K23" s="26"/>
      <c r="L23" s="112" t="s">
        <v>97</v>
      </c>
      <c r="M23" s="119">
        <f>AVERAGE(G4:G28)</f>
        <v>49.08</v>
      </c>
      <c r="N23" s="44" t="s">
        <v>106</v>
      </c>
    </row>
    <row r="24" spans="2:15">
      <c r="B24" s="105"/>
      <c r="C24" s="105">
        <v>454</v>
      </c>
      <c r="D24" s="106"/>
      <c r="E24" s="106">
        <f t="shared" si="1"/>
        <v>20</v>
      </c>
      <c r="F24" s="106"/>
      <c r="G24" s="106">
        <f t="shared" si="5"/>
        <v>20</v>
      </c>
      <c r="H24" s="106"/>
      <c r="I24" s="106">
        <f t="shared" si="4"/>
        <v>845.64639999999986</v>
      </c>
      <c r="K24" s="26"/>
      <c r="L24" s="112" t="s">
        <v>98</v>
      </c>
      <c r="M24" s="120">
        <f>AVERAGE(F4:F21,G4:G28)</f>
        <v>42.534883720930232</v>
      </c>
      <c r="N24" s="44" t="s">
        <v>134</v>
      </c>
      <c r="O24" s="48"/>
    </row>
    <row r="25" spans="2:15">
      <c r="B25" s="105"/>
      <c r="C25" s="105">
        <v>420</v>
      </c>
      <c r="D25" s="106"/>
      <c r="E25" s="106">
        <f t="shared" si="1"/>
        <v>-14</v>
      </c>
      <c r="F25" s="106"/>
      <c r="G25" s="106">
        <f t="shared" si="5"/>
        <v>14</v>
      </c>
      <c r="H25" s="106"/>
      <c r="I25" s="106">
        <f t="shared" si="4"/>
        <v>1230.6063999999999</v>
      </c>
      <c r="K25" s="26"/>
      <c r="L25" s="121" t="s">
        <v>99</v>
      </c>
      <c r="M25" s="115">
        <f>SUM(H4:H21)</f>
        <v>14290.944444444445</v>
      </c>
      <c r="N25" s="44" t="s">
        <v>107</v>
      </c>
    </row>
    <row r="26" spans="2:15">
      <c r="B26" s="105"/>
      <c r="C26" s="105">
        <v>423</v>
      </c>
      <c r="D26" s="106"/>
      <c r="E26" s="106">
        <f t="shared" si="1"/>
        <v>-11</v>
      </c>
      <c r="F26" s="106"/>
      <c r="G26" s="106">
        <f t="shared" si="5"/>
        <v>11</v>
      </c>
      <c r="H26" s="106"/>
      <c r="I26" s="106">
        <f t="shared" si="4"/>
        <v>1450.0863999999999</v>
      </c>
      <c r="K26" s="30"/>
      <c r="L26" s="121" t="s">
        <v>100</v>
      </c>
      <c r="M26" s="115">
        <f>SUM(I4:I28)</f>
        <v>86143.840000000011</v>
      </c>
      <c r="N26" s="44" t="s">
        <v>108</v>
      </c>
    </row>
    <row r="27" spans="2:15">
      <c r="B27" s="105"/>
      <c r="C27" s="105">
        <v>420</v>
      </c>
      <c r="D27" s="106"/>
      <c r="E27" s="106">
        <f t="shared" si="1"/>
        <v>-14</v>
      </c>
      <c r="F27" s="106"/>
      <c r="G27" s="106">
        <f t="shared" si="5"/>
        <v>14</v>
      </c>
      <c r="H27" s="106"/>
      <c r="I27" s="106">
        <f t="shared" si="4"/>
        <v>1230.6063999999999</v>
      </c>
      <c r="K27" s="30"/>
      <c r="L27" s="26"/>
      <c r="M27" s="26"/>
      <c r="N27" s="28"/>
    </row>
    <row r="28" spans="2:15">
      <c r="B28" s="105"/>
      <c r="C28" s="105">
        <v>415</v>
      </c>
      <c r="D28" s="106"/>
      <c r="E28" s="106">
        <f t="shared" si="1"/>
        <v>-19</v>
      </c>
      <c r="F28" s="106"/>
      <c r="G28" s="106">
        <f t="shared" si="5"/>
        <v>19</v>
      </c>
      <c r="H28" s="106"/>
      <c r="I28" s="106">
        <f t="shared" si="4"/>
        <v>904.80639999999994</v>
      </c>
      <c r="K28" s="26"/>
      <c r="L28" s="27" t="s">
        <v>86</v>
      </c>
      <c r="M28" s="28"/>
      <c r="N28" s="28"/>
    </row>
    <row r="29" spans="2:15">
      <c r="K29" s="26"/>
      <c r="L29" s="117" t="s">
        <v>84</v>
      </c>
      <c r="M29" s="118">
        <f>((M19-M16)/(M16-1))*(M17*(M22-M24)^2+M18*(M23-M24)^2)/(M25+M26)</f>
        <v>1.0444084986010325</v>
      </c>
      <c r="N29" s="28" t="s">
        <v>109</v>
      </c>
    </row>
    <row r="30" spans="2:15">
      <c r="K30" s="43"/>
      <c r="L30" s="26"/>
      <c r="M30" s="26"/>
      <c r="N30" s="26"/>
    </row>
    <row r="31" spans="2:15">
      <c r="K31" s="30"/>
      <c r="L31" s="112" t="s">
        <v>87</v>
      </c>
      <c r="M31" s="119">
        <f>M16-1</f>
        <v>1</v>
      </c>
      <c r="N31" s="28" t="s">
        <v>110</v>
      </c>
    </row>
    <row r="32" spans="2:15">
      <c r="K32" s="26"/>
      <c r="L32" s="112" t="s">
        <v>88</v>
      </c>
      <c r="M32" s="119">
        <f>M19-M16</f>
        <v>41</v>
      </c>
      <c r="N32" s="28" t="s">
        <v>111</v>
      </c>
    </row>
    <row r="33" spans="11:17">
      <c r="K33" s="26"/>
      <c r="L33" s="117" t="s">
        <v>115</v>
      </c>
      <c r="M33" s="118">
        <f>_xlfn.F.DIST.RT(M29,M31,M32)</f>
        <v>0.31279084043230126</v>
      </c>
      <c r="N33" s="28" t="s">
        <v>114</v>
      </c>
    </row>
    <row r="34" spans="11:17">
      <c r="K34" s="26"/>
      <c r="L34" s="117" t="s">
        <v>113</v>
      </c>
      <c r="M34" s="123">
        <f>_xlfn.F.INV.RT(M13,M31,M32)</f>
        <v>4.0785457312912969</v>
      </c>
      <c r="N34" s="47" t="s">
        <v>112</v>
      </c>
    </row>
    <row r="35" spans="11:17">
      <c r="K35" s="26"/>
      <c r="L35" s="27"/>
      <c r="M35" s="26"/>
      <c r="N35" s="28"/>
    </row>
    <row r="36" spans="11:17">
      <c r="K36" s="26"/>
      <c r="L36" s="26"/>
      <c r="M36" s="26"/>
      <c r="N36" s="26"/>
    </row>
    <row r="38" spans="11:17">
      <c r="K38" t="s">
        <v>117</v>
      </c>
      <c r="L38"/>
      <c r="M38"/>
      <c r="N38"/>
      <c r="O38"/>
      <c r="P38"/>
      <c r="Q38"/>
    </row>
    <row r="39" spans="11:17">
      <c r="K39"/>
      <c r="L39"/>
      <c r="M39"/>
      <c r="N39"/>
      <c r="O39"/>
      <c r="P39"/>
      <c r="Q39"/>
    </row>
    <row r="40" spans="11:17" ht="16.5" thickBot="1">
      <c r="K40" t="s">
        <v>118</v>
      </c>
      <c r="L40"/>
      <c r="M40"/>
      <c r="N40"/>
      <c r="O40"/>
      <c r="P40"/>
      <c r="Q40"/>
    </row>
    <row r="41" spans="11:17">
      <c r="K41" s="5" t="s">
        <v>119</v>
      </c>
      <c r="L41" s="5" t="s">
        <v>120</v>
      </c>
      <c r="M41" s="5" t="s">
        <v>121</v>
      </c>
      <c r="N41" s="5" t="s">
        <v>122</v>
      </c>
      <c r="O41" s="5" t="s">
        <v>3</v>
      </c>
      <c r="P41"/>
      <c r="Q41"/>
    </row>
    <row r="42" spans="11:17">
      <c r="K42" s="3" t="s">
        <v>123</v>
      </c>
      <c r="L42" s="3">
        <v>18</v>
      </c>
      <c r="M42" s="3">
        <v>602</v>
      </c>
      <c r="N42" s="3">
        <v>33.444444444444443</v>
      </c>
      <c r="O42" s="3">
        <v>840.64379084967322</v>
      </c>
      <c r="P42"/>
      <c r="Q42"/>
    </row>
    <row r="43" spans="11:17" ht="16.5" thickBot="1">
      <c r="K43" s="4" t="s">
        <v>124</v>
      </c>
      <c r="L43" s="4">
        <v>25</v>
      </c>
      <c r="M43" s="4">
        <v>1227</v>
      </c>
      <c r="N43" s="4">
        <v>49.08</v>
      </c>
      <c r="O43" s="4">
        <v>3589.3266666666664</v>
      </c>
      <c r="P43"/>
      <c r="Q43"/>
    </row>
    <row r="44" spans="11:17">
      <c r="K44"/>
      <c r="L44"/>
      <c r="M44"/>
      <c r="N44"/>
      <c r="O44"/>
      <c r="P44"/>
      <c r="Q44"/>
    </row>
    <row r="45" spans="11:17">
      <c r="K45"/>
      <c r="L45"/>
      <c r="M45"/>
      <c r="N45"/>
      <c r="O45"/>
      <c r="P45"/>
      <c r="Q45"/>
    </row>
    <row r="46" spans="11:17" ht="16.5" thickBot="1">
      <c r="K46" t="s">
        <v>125</v>
      </c>
      <c r="L46"/>
      <c r="M46"/>
      <c r="N46"/>
      <c r="O46"/>
      <c r="P46"/>
      <c r="Q46"/>
    </row>
    <row r="47" spans="11:17">
      <c r="K47" s="5" t="s">
        <v>126</v>
      </c>
      <c r="L47" s="5" t="s">
        <v>127</v>
      </c>
      <c r="M47" s="5" t="s">
        <v>5</v>
      </c>
      <c r="N47" s="5" t="s">
        <v>128</v>
      </c>
      <c r="O47" s="5" t="s">
        <v>6</v>
      </c>
      <c r="P47" s="5" t="s">
        <v>129</v>
      </c>
      <c r="Q47" s="5" t="s">
        <v>130</v>
      </c>
    </row>
    <row r="48" spans="11:17">
      <c r="K48" s="3" t="s">
        <v>131</v>
      </c>
      <c r="L48" s="3">
        <v>2558.4132299741614</v>
      </c>
      <c r="M48" s="3">
        <v>1</v>
      </c>
      <c r="N48" s="3">
        <v>2558.4132299741614</v>
      </c>
      <c r="O48" s="3">
        <v>1.0444084986010329</v>
      </c>
      <c r="P48" s="3">
        <v>0.3127908404323001</v>
      </c>
      <c r="Q48" s="3">
        <v>4.0785457312912969</v>
      </c>
    </row>
    <row r="49" spans="11:17">
      <c r="K49" s="3" t="s">
        <v>132</v>
      </c>
      <c r="L49" s="3">
        <v>100434.78444444446</v>
      </c>
      <c r="M49" s="3">
        <v>41</v>
      </c>
      <c r="N49" s="3">
        <v>2449.6288888888894</v>
      </c>
      <c r="O49" s="3"/>
      <c r="P49" s="3"/>
      <c r="Q49" s="3"/>
    </row>
    <row r="50" spans="11:17">
      <c r="K50" s="3"/>
      <c r="L50" s="3"/>
      <c r="M50" s="3"/>
      <c r="N50" s="3"/>
      <c r="O50" s="3"/>
      <c r="P50" s="3"/>
      <c r="Q50" s="3"/>
    </row>
    <row r="51" spans="11:17" ht="16.5" thickBot="1">
      <c r="K51" s="4" t="s">
        <v>133</v>
      </c>
      <c r="L51" s="4">
        <v>102993.19767441862</v>
      </c>
      <c r="M51" s="4">
        <v>42</v>
      </c>
      <c r="N51" s="4"/>
      <c r="O51" s="4"/>
      <c r="P51" s="4"/>
      <c r="Q51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scale="4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1"/>
  <sheetViews>
    <sheetView zoomScale="75" zoomScaleNormal="75" workbookViewId="0">
      <selection activeCell="G33" sqref="G33"/>
    </sheetView>
  </sheetViews>
  <sheetFormatPr defaultColWidth="9.140625" defaultRowHeight="15.75"/>
  <cols>
    <col min="1" max="1" width="11.7109375" style="10" customWidth="1"/>
    <col min="2" max="2" width="13" style="10" customWidth="1"/>
    <col min="3" max="3" width="14.85546875" style="11" customWidth="1"/>
    <col min="4" max="4" width="23.28515625" style="11" customWidth="1"/>
    <col min="5" max="6" width="22.42578125" style="11" customWidth="1"/>
    <col min="7" max="9" width="23.5703125" style="11" customWidth="1"/>
    <col min="10" max="10" width="9" style="10" customWidth="1"/>
    <col min="11" max="11" width="23.42578125" style="10" customWidth="1"/>
    <col min="12" max="12" width="51.85546875" style="10" customWidth="1"/>
    <col min="13" max="13" width="22.7109375" style="10" customWidth="1"/>
    <col min="14" max="14" width="77" style="10" customWidth="1"/>
    <col min="15" max="16384" width="9.140625" style="10"/>
  </cols>
  <sheetData>
    <row r="1" spans="1:14" ht="18.75">
      <c r="A1" s="45" t="s">
        <v>85</v>
      </c>
    </row>
    <row r="2" spans="1:14">
      <c r="A2" s="10" t="s">
        <v>144</v>
      </c>
    </row>
    <row r="3" spans="1:14">
      <c r="B3" s="108" t="s">
        <v>142</v>
      </c>
      <c r="C3" s="108" t="s">
        <v>143</v>
      </c>
      <c r="D3" s="108" t="s">
        <v>90</v>
      </c>
      <c r="E3" s="108" t="s">
        <v>91</v>
      </c>
      <c r="F3" s="109" t="s">
        <v>92</v>
      </c>
      <c r="G3" s="109" t="s">
        <v>93</v>
      </c>
      <c r="H3" s="109" t="s">
        <v>94</v>
      </c>
      <c r="I3" s="109" t="s">
        <v>95</v>
      </c>
      <c r="K3" s="12" t="s">
        <v>20</v>
      </c>
      <c r="L3" s="13"/>
      <c r="M3" s="13"/>
      <c r="N3" s="13"/>
    </row>
    <row r="4" spans="1:14" ht="18.75">
      <c r="B4" s="105">
        <v>74</v>
      </c>
      <c r="C4" s="105">
        <v>58</v>
      </c>
      <c r="D4" s="106">
        <f>B4-$M$20</f>
        <v>30.4375</v>
      </c>
      <c r="E4" s="106">
        <f>C4-$M$21</f>
        <v>24.470588235294116</v>
      </c>
      <c r="F4" s="106">
        <f>ABS(D4)</f>
        <v>30.4375</v>
      </c>
      <c r="G4" s="106">
        <f>ABS(E4)</f>
        <v>24.470588235294116</v>
      </c>
      <c r="H4" s="106">
        <f>(F4-$M$22)^2</f>
        <v>278.73345947265625</v>
      </c>
      <c r="I4" s="106">
        <f>(G4-$M$23)^2</f>
        <v>147.67715903784671</v>
      </c>
      <c r="K4" s="13"/>
      <c r="L4" s="13" t="s">
        <v>22</v>
      </c>
      <c r="M4" s="13"/>
      <c r="N4" s="13"/>
    </row>
    <row r="5" spans="1:14" ht="18.75">
      <c r="B5" s="105">
        <v>66</v>
      </c>
      <c r="C5" s="105">
        <v>56</v>
      </c>
      <c r="D5" s="106">
        <f t="shared" ref="D5:D19" si="0">B5-$M$20</f>
        <v>22.4375</v>
      </c>
      <c r="E5" s="106">
        <f t="shared" ref="E5:E20" si="1">C5-$M$21</f>
        <v>22.470588235294116</v>
      </c>
      <c r="F5" s="106">
        <f t="shared" ref="F5:G20" si="2">ABS(D5)</f>
        <v>22.4375</v>
      </c>
      <c r="G5" s="106">
        <f t="shared" si="2"/>
        <v>22.470588235294116</v>
      </c>
      <c r="H5" s="106">
        <f t="shared" ref="H5:H19" si="3">(F5-$M$22)^2</f>
        <v>75.60845947265625</v>
      </c>
      <c r="I5" s="106">
        <f t="shared" ref="I5:I20" si="4">(G5-$M$23)^2</f>
        <v>103.06816249805433</v>
      </c>
      <c r="K5" s="13"/>
      <c r="L5" s="13" t="s">
        <v>23</v>
      </c>
      <c r="M5" s="13"/>
      <c r="N5" s="13"/>
    </row>
    <row r="6" spans="1:14">
      <c r="B6" s="105">
        <v>64</v>
      </c>
      <c r="C6" s="105">
        <v>49</v>
      </c>
      <c r="D6" s="106">
        <f t="shared" si="0"/>
        <v>20.4375</v>
      </c>
      <c r="E6" s="106">
        <f t="shared" si="1"/>
        <v>15.470588235294116</v>
      </c>
      <c r="F6" s="106">
        <f t="shared" si="2"/>
        <v>20.4375</v>
      </c>
      <c r="G6" s="106">
        <f t="shared" si="2"/>
        <v>15.470588235294116</v>
      </c>
      <c r="H6" s="106">
        <f t="shared" si="3"/>
        <v>44.82720947265625</v>
      </c>
      <c r="I6" s="106">
        <f t="shared" si="4"/>
        <v>9.9366746087810114</v>
      </c>
    </row>
    <row r="7" spans="1:14">
      <c r="B7" s="105">
        <v>55</v>
      </c>
      <c r="C7" s="105">
        <v>48</v>
      </c>
      <c r="D7" s="106">
        <f t="shared" si="0"/>
        <v>11.4375</v>
      </c>
      <c r="E7" s="106">
        <f t="shared" si="1"/>
        <v>14.470588235294116</v>
      </c>
      <c r="F7" s="106">
        <f t="shared" si="2"/>
        <v>11.4375</v>
      </c>
      <c r="G7" s="106">
        <f t="shared" si="2"/>
        <v>14.470588235294116</v>
      </c>
      <c r="H7" s="106">
        <f t="shared" si="3"/>
        <v>5.31158447265625</v>
      </c>
      <c r="I7" s="106">
        <f t="shared" si="4"/>
        <v>4.6321763388848227</v>
      </c>
      <c r="J7" s="11"/>
      <c r="K7" s="15" t="s">
        <v>24</v>
      </c>
      <c r="L7" s="16" t="s">
        <v>25</v>
      </c>
      <c r="M7" s="16"/>
      <c r="N7" s="16"/>
    </row>
    <row r="8" spans="1:14">
      <c r="B8" s="105">
        <v>53</v>
      </c>
      <c r="C8" s="105">
        <v>47</v>
      </c>
      <c r="D8" s="106">
        <f t="shared" si="0"/>
        <v>9.4375</v>
      </c>
      <c r="E8" s="106">
        <f t="shared" si="1"/>
        <v>13.470588235294116</v>
      </c>
      <c r="F8" s="106">
        <f t="shared" si="2"/>
        <v>9.4375</v>
      </c>
      <c r="G8" s="106">
        <f t="shared" si="2"/>
        <v>13.470588235294116</v>
      </c>
      <c r="H8" s="106">
        <f t="shared" si="3"/>
        <v>18.53033447265625</v>
      </c>
      <c r="I8" s="106">
        <f t="shared" si="4"/>
        <v>1.3276780689886327</v>
      </c>
      <c r="K8" s="16"/>
      <c r="L8" s="16" t="s">
        <v>78</v>
      </c>
      <c r="M8" s="16"/>
      <c r="N8" s="16"/>
    </row>
    <row r="9" spans="1:14">
      <c r="B9" s="105">
        <v>52</v>
      </c>
      <c r="C9" s="105">
        <v>38</v>
      </c>
      <c r="D9" s="106">
        <f t="shared" si="0"/>
        <v>8.4375</v>
      </c>
      <c r="E9" s="106">
        <f t="shared" si="1"/>
        <v>4.470588235294116</v>
      </c>
      <c r="F9" s="106">
        <f t="shared" si="2"/>
        <v>8.4375</v>
      </c>
      <c r="G9" s="106">
        <f t="shared" si="2"/>
        <v>4.470588235294116</v>
      </c>
      <c r="H9" s="106">
        <f t="shared" si="3"/>
        <v>28.13970947265625</v>
      </c>
      <c r="I9" s="106">
        <f t="shared" si="4"/>
        <v>61.58719363992293</v>
      </c>
      <c r="K9" s="16"/>
      <c r="L9" s="16" t="s">
        <v>77</v>
      </c>
      <c r="M9" s="16"/>
      <c r="N9" s="16"/>
    </row>
    <row r="10" spans="1:14">
      <c r="B10" s="105">
        <v>47</v>
      </c>
      <c r="C10" s="105">
        <v>37</v>
      </c>
      <c r="D10" s="106">
        <f t="shared" si="0"/>
        <v>3.4375</v>
      </c>
      <c r="E10" s="106">
        <f t="shared" si="1"/>
        <v>3.470588235294116</v>
      </c>
      <c r="F10" s="106">
        <f t="shared" si="2"/>
        <v>3.4375</v>
      </c>
      <c r="G10" s="106">
        <f t="shared" si="2"/>
        <v>3.470588235294116</v>
      </c>
      <c r="H10" s="106">
        <f t="shared" si="3"/>
        <v>106.18658447265625</v>
      </c>
      <c r="I10" s="106">
        <f t="shared" si="4"/>
        <v>78.282695370026744</v>
      </c>
      <c r="K10" s="16"/>
      <c r="L10" s="16"/>
      <c r="M10" s="16"/>
      <c r="N10" s="16"/>
    </row>
    <row r="11" spans="1:14">
      <c r="B11" s="105">
        <v>46</v>
      </c>
      <c r="C11" s="105">
        <v>37</v>
      </c>
      <c r="D11" s="106">
        <f t="shared" si="0"/>
        <v>2.4375</v>
      </c>
      <c r="E11" s="106">
        <f t="shared" si="1"/>
        <v>3.470588235294116</v>
      </c>
      <c r="F11" s="106">
        <f t="shared" si="2"/>
        <v>2.4375</v>
      </c>
      <c r="G11" s="106">
        <f t="shared" si="2"/>
        <v>3.470588235294116</v>
      </c>
      <c r="H11" s="106">
        <f t="shared" si="3"/>
        <v>127.79595947265625</v>
      </c>
      <c r="I11" s="106">
        <f t="shared" si="4"/>
        <v>78.282695370026744</v>
      </c>
    </row>
    <row r="12" spans="1:14">
      <c r="B12" s="105">
        <v>45</v>
      </c>
      <c r="C12" s="105">
        <v>36</v>
      </c>
      <c r="D12" s="106">
        <f t="shared" si="0"/>
        <v>1.4375</v>
      </c>
      <c r="E12" s="106">
        <f t="shared" si="1"/>
        <v>2.470588235294116</v>
      </c>
      <c r="F12" s="106">
        <f t="shared" si="2"/>
        <v>1.4375</v>
      </c>
      <c r="G12" s="106">
        <f t="shared" si="2"/>
        <v>2.470588235294116</v>
      </c>
      <c r="H12" s="106">
        <f t="shared" si="3"/>
        <v>151.40533447265625</v>
      </c>
      <c r="I12" s="106">
        <f t="shared" si="4"/>
        <v>96.978197100130544</v>
      </c>
      <c r="K12" s="20" t="s">
        <v>32</v>
      </c>
      <c r="L12" s="21"/>
      <c r="M12" s="21"/>
      <c r="N12" s="21"/>
    </row>
    <row r="13" spans="1:14">
      <c r="B13" s="105">
        <v>37</v>
      </c>
      <c r="C13" s="105">
        <v>34</v>
      </c>
      <c r="D13" s="106">
        <f t="shared" si="0"/>
        <v>-6.5625</v>
      </c>
      <c r="E13" s="106">
        <f t="shared" si="1"/>
        <v>0.47058823529411598</v>
      </c>
      <c r="F13" s="106">
        <f t="shared" si="2"/>
        <v>6.5625</v>
      </c>
      <c r="G13" s="106">
        <f t="shared" si="2"/>
        <v>0.47058823529411598</v>
      </c>
      <c r="H13" s="106">
        <f t="shared" si="3"/>
        <v>51.54791259765625</v>
      </c>
      <c r="I13" s="106">
        <f t="shared" si="4"/>
        <v>140.36920056033816</v>
      </c>
      <c r="K13" s="20"/>
      <c r="L13" s="122" t="s">
        <v>33</v>
      </c>
      <c r="M13" s="118">
        <v>0.05</v>
      </c>
      <c r="N13" s="21"/>
    </row>
    <row r="14" spans="1:14">
      <c r="B14" s="105">
        <v>36</v>
      </c>
      <c r="C14" s="105">
        <v>26</v>
      </c>
      <c r="D14" s="106">
        <f t="shared" si="0"/>
        <v>-7.5625</v>
      </c>
      <c r="E14" s="106">
        <f t="shared" si="1"/>
        <v>-7.529411764705884</v>
      </c>
      <c r="F14" s="106">
        <f t="shared" si="2"/>
        <v>7.5625</v>
      </c>
      <c r="G14" s="106">
        <f t="shared" si="2"/>
        <v>7.529411764705884</v>
      </c>
      <c r="H14" s="106">
        <f t="shared" si="3"/>
        <v>38.18853759765625</v>
      </c>
      <c r="I14" s="106">
        <f t="shared" si="4"/>
        <v>22.933825026041344</v>
      </c>
      <c r="K14" s="22"/>
      <c r="L14" s="23"/>
    </row>
    <row r="15" spans="1:14">
      <c r="B15" s="105">
        <v>34</v>
      </c>
      <c r="C15" s="105">
        <v>25</v>
      </c>
      <c r="D15" s="106">
        <f t="shared" si="0"/>
        <v>-9.5625</v>
      </c>
      <c r="E15" s="106">
        <f t="shared" si="1"/>
        <v>-8.529411764705884</v>
      </c>
      <c r="F15" s="106">
        <f t="shared" si="2"/>
        <v>9.5625</v>
      </c>
      <c r="G15" s="106">
        <f t="shared" si="2"/>
        <v>8.529411764705884</v>
      </c>
      <c r="H15" s="106">
        <f t="shared" si="3"/>
        <v>17.46978759765625</v>
      </c>
      <c r="I15" s="106">
        <f t="shared" si="4"/>
        <v>14.35597035476107</v>
      </c>
      <c r="K15" s="25" t="s">
        <v>34</v>
      </c>
      <c r="L15" s="26"/>
      <c r="M15" s="26"/>
      <c r="N15" s="26"/>
    </row>
    <row r="16" spans="1:14">
      <c r="B16" s="105">
        <v>27</v>
      </c>
      <c r="C16" s="105">
        <v>24</v>
      </c>
      <c r="D16" s="106">
        <f t="shared" si="0"/>
        <v>-16.5625</v>
      </c>
      <c r="E16" s="106">
        <f t="shared" si="1"/>
        <v>-9.529411764705884</v>
      </c>
      <c r="F16" s="106">
        <f t="shared" si="2"/>
        <v>16.5625</v>
      </c>
      <c r="G16" s="106">
        <f t="shared" si="2"/>
        <v>9.529411764705884</v>
      </c>
      <c r="H16" s="106">
        <f t="shared" si="3"/>
        <v>7.95416259765625</v>
      </c>
      <c r="I16" s="106">
        <f t="shared" si="4"/>
        <v>7.7781156834807943</v>
      </c>
      <c r="K16" s="26"/>
      <c r="L16" s="112" t="s">
        <v>89</v>
      </c>
      <c r="M16" s="113">
        <f>COUNTA(B3:C3)</f>
        <v>2</v>
      </c>
      <c r="N16" s="28" t="s">
        <v>101</v>
      </c>
    </row>
    <row r="17" spans="2:15">
      <c r="B17" s="105">
        <v>26</v>
      </c>
      <c r="C17" s="105">
        <v>22</v>
      </c>
      <c r="D17" s="106">
        <f t="shared" si="0"/>
        <v>-17.5625</v>
      </c>
      <c r="E17" s="106">
        <f t="shared" si="1"/>
        <v>-11.529411764705884</v>
      </c>
      <c r="F17" s="106">
        <f t="shared" si="2"/>
        <v>17.5625</v>
      </c>
      <c r="G17" s="106">
        <f t="shared" si="2"/>
        <v>11.529411764705884</v>
      </c>
      <c r="H17" s="106">
        <f t="shared" si="3"/>
        <v>14.59478759765625</v>
      </c>
      <c r="I17" s="106">
        <f t="shared" si="4"/>
        <v>0.6224063409202456</v>
      </c>
      <c r="K17" s="29"/>
      <c r="L17" s="112" t="s">
        <v>81</v>
      </c>
      <c r="M17" s="112">
        <f>COUNT(B4:B19)</f>
        <v>16</v>
      </c>
      <c r="N17" s="28" t="s">
        <v>36</v>
      </c>
    </row>
    <row r="18" spans="2:15">
      <c r="B18" s="105">
        <v>18</v>
      </c>
      <c r="C18" s="105">
        <v>15</v>
      </c>
      <c r="D18" s="106">
        <f t="shared" si="0"/>
        <v>-25.5625</v>
      </c>
      <c r="E18" s="106">
        <f t="shared" si="1"/>
        <v>-18.529411764705884</v>
      </c>
      <c r="F18" s="106">
        <f t="shared" si="2"/>
        <v>25.5625</v>
      </c>
      <c r="G18" s="106">
        <f t="shared" si="2"/>
        <v>18.529411764705884</v>
      </c>
      <c r="H18" s="106">
        <f t="shared" si="3"/>
        <v>139.71978759765625</v>
      </c>
      <c r="I18" s="106">
        <f t="shared" si="4"/>
        <v>38.577423641958326</v>
      </c>
      <c r="K18" s="26"/>
      <c r="L18" s="112" t="s">
        <v>82</v>
      </c>
      <c r="M18" s="113">
        <f>COUNT(C4:C20)</f>
        <v>17</v>
      </c>
      <c r="N18" s="28" t="s">
        <v>38</v>
      </c>
    </row>
    <row r="19" spans="2:15">
      <c r="B19" s="105">
        <v>17</v>
      </c>
      <c r="C19" s="105">
        <v>14</v>
      </c>
      <c r="D19" s="106">
        <f t="shared" si="0"/>
        <v>-26.5625</v>
      </c>
      <c r="E19" s="106">
        <f t="shared" si="1"/>
        <v>-19.529411764705884</v>
      </c>
      <c r="F19" s="106">
        <f t="shared" si="2"/>
        <v>26.5625</v>
      </c>
      <c r="G19" s="106">
        <f t="shared" si="2"/>
        <v>19.529411764705884</v>
      </c>
      <c r="H19" s="106">
        <f t="shared" si="3"/>
        <v>164.36041259765625</v>
      </c>
      <c r="I19" s="106">
        <f t="shared" si="4"/>
        <v>51.999568970678048</v>
      </c>
      <c r="K19" s="26"/>
      <c r="L19" s="112" t="s">
        <v>83</v>
      </c>
      <c r="M19" s="113">
        <f>M17+M18</f>
        <v>33</v>
      </c>
      <c r="N19" s="28" t="s">
        <v>102</v>
      </c>
    </row>
    <row r="20" spans="2:15">
      <c r="B20" s="105"/>
      <c r="C20" s="105">
        <v>4</v>
      </c>
      <c r="D20" s="106"/>
      <c r="E20" s="106">
        <f t="shared" si="1"/>
        <v>-29.529411764705884</v>
      </c>
      <c r="F20" s="106"/>
      <c r="G20" s="106">
        <f t="shared" si="2"/>
        <v>29.529411764705884</v>
      </c>
      <c r="H20" s="106"/>
      <c r="I20" s="106">
        <f t="shared" si="4"/>
        <v>296.22102225787523</v>
      </c>
      <c r="K20" s="26"/>
      <c r="L20" s="117" t="s">
        <v>79</v>
      </c>
      <c r="M20" s="118">
        <f>AVERAGE(B4:B19)</f>
        <v>43.5625</v>
      </c>
      <c r="N20" s="28" t="s">
        <v>103</v>
      </c>
    </row>
    <row r="21" spans="2:15">
      <c r="B21" s="11"/>
      <c r="D21" s="42"/>
      <c r="E21" s="42"/>
      <c r="F21" s="42"/>
      <c r="G21" s="42"/>
      <c r="H21" s="42"/>
      <c r="I21" s="42"/>
      <c r="K21" s="26"/>
      <c r="L21" s="117" t="s">
        <v>80</v>
      </c>
      <c r="M21" s="118">
        <f>AVERAGE(C4:C20)</f>
        <v>33.529411764705884</v>
      </c>
      <c r="N21" s="28" t="s">
        <v>104</v>
      </c>
    </row>
    <row r="22" spans="2:15">
      <c r="B22" s="11"/>
      <c r="D22" s="42"/>
      <c r="E22" s="42"/>
      <c r="F22" s="42"/>
      <c r="G22" s="42"/>
      <c r="H22" s="42"/>
      <c r="I22" s="42"/>
      <c r="K22" s="26"/>
      <c r="L22" s="112" t="s">
        <v>96</v>
      </c>
      <c r="M22" s="124">
        <f>AVERAGE(F4:F19)</f>
        <v>13.7421875</v>
      </c>
      <c r="N22" s="44" t="s">
        <v>105</v>
      </c>
    </row>
    <row r="23" spans="2:15">
      <c r="B23" s="11"/>
      <c r="D23" s="42"/>
      <c r="E23" s="42"/>
      <c r="F23" s="42"/>
      <c r="G23" s="42"/>
      <c r="H23" s="42"/>
      <c r="I23" s="42"/>
      <c r="K23" s="26"/>
      <c r="L23" s="112" t="s">
        <v>97</v>
      </c>
      <c r="M23" s="124">
        <f>AVERAGE(G4:G20)</f>
        <v>12.318339100346021</v>
      </c>
      <c r="N23" s="44" t="s">
        <v>106</v>
      </c>
    </row>
    <row r="24" spans="2:15">
      <c r="B24" s="11"/>
      <c r="D24" s="42"/>
      <c r="E24" s="42"/>
      <c r="F24" s="42"/>
      <c r="G24" s="42"/>
      <c r="H24" s="42"/>
      <c r="I24" s="42"/>
      <c r="K24" s="26"/>
      <c r="L24" s="112" t="s">
        <v>98</v>
      </c>
      <c r="M24" s="120">
        <f>AVERAGE(F4:F19,G4:G20)</f>
        <v>13.008689839572192</v>
      </c>
      <c r="N24" s="44" t="s">
        <v>134</v>
      </c>
      <c r="O24" s="48"/>
    </row>
    <row r="25" spans="2:15">
      <c r="B25" s="11"/>
      <c r="D25" s="42"/>
      <c r="E25" s="42"/>
      <c r="F25" s="42"/>
      <c r="G25" s="42"/>
      <c r="H25" s="42"/>
      <c r="I25" s="42"/>
      <c r="K25" s="26"/>
      <c r="L25" s="121" t="s">
        <v>99</v>
      </c>
      <c r="M25" s="115">
        <f>SUM(H4:H21)</f>
        <v>1270.3740234375</v>
      </c>
      <c r="N25" s="44" t="s">
        <v>107</v>
      </c>
    </row>
    <row r="26" spans="2:15">
      <c r="B26" s="11"/>
      <c r="D26" s="42"/>
      <c r="E26" s="42"/>
      <c r="F26" s="42"/>
      <c r="G26" s="42"/>
      <c r="H26" s="42"/>
      <c r="I26" s="42"/>
      <c r="K26" s="30"/>
      <c r="L26" s="121" t="s">
        <v>100</v>
      </c>
      <c r="M26" s="115">
        <f>SUM(I4:I28)</f>
        <v>1154.6301648687158</v>
      </c>
      <c r="N26" s="44" t="s">
        <v>108</v>
      </c>
    </row>
    <row r="27" spans="2:15">
      <c r="B27" s="11"/>
      <c r="D27" s="42"/>
      <c r="E27" s="42"/>
      <c r="F27" s="42"/>
      <c r="G27" s="42"/>
      <c r="H27" s="42"/>
      <c r="I27" s="42"/>
      <c r="K27" s="30"/>
      <c r="L27" s="26"/>
      <c r="M27" s="26"/>
      <c r="N27" s="28"/>
    </row>
    <row r="28" spans="2:15">
      <c r="B28" s="11"/>
      <c r="D28" s="42"/>
      <c r="E28" s="42"/>
      <c r="F28" s="42"/>
      <c r="G28" s="42"/>
      <c r="H28" s="42"/>
      <c r="I28" s="42"/>
      <c r="K28" s="26"/>
      <c r="L28" s="27" t="s">
        <v>86</v>
      </c>
      <c r="M28" s="28"/>
      <c r="N28" s="28"/>
    </row>
    <row r="29" spans="2:15">
      <c r="K29" s="26"/>
      <c r="L29" s="117" t="s">
        <v>84</v>
      </c>
      <c r="M29" s="118">
        <f>((M19-M16)/(M16-1))*(M17*(M22-M24)^2+M18*(M23-M24)^2)/(M25+M26)</f>
        <v>0.21361496181870634</v>
      </c>
      <c r="N29" s="28" t="s">
        <v>109</v>
      </c>
    </row>
    <row r="30" spans="2:15">
      <c r="K30" s="43"/>
      <c r="L30" s="26"/>
      <c r="M30" s="26"/>
      <c r="N30" s="26"/>
    </row>
    <row r="31" spans="2:15">
      <c r="K31" s="30"/>
      <c r="L31" s="112" t="s">
        <v>87</v>
      </c>
      <c r="M31" s="119">
        <f>M16-1</f>
        <v>1</v>
      </c>
      <c r="N31" s="28" t="s">
        <v>110</v>
      </c>
    </row>
    <row r="32" spans="2:15">
      <c r="K32" s="26"/>
      <c r="L32" s="112" t="s">
        <v>88</v>
      </c>
      <c r="M32" s="119">
        <f>M19-M16</f>
        <v>31</v>
      </c>
      <c r="N32" s="28" t="s">
        <v>111</v>
      </c>
    </row>
    <row r="33" spans="11:17">
      <c r="K33" s="26"/>
      <c r="L33" s="117" t="s">
        <v>115</v>
      </c>
      <c r="M33" s="118">
        <f>_xlfn.F.DIST.RT(M29,M31,M32)</f>
        <v>0.64717619001866689</v>
      </c>
      <c r="N33" s="28" t="s">
        <v>114</v>
      </c>
    </row>
    <row r="34" spans="11:17">
      <c r="K34" s="26"/>
      <c r="L34" s="117" t="s">
        <v>113</v>
      </c>
      <c r="M34" s="123">
        <f>_xlfn.F.INV.RT(M13,M31,M32)</f>
        <v>4.1596150980317566</v>
      </c>
      <c r="N34" s="47" t="s">
        <v>112</v>
      </c>
    </row>
    <row r="35" spans="11:17">
      <c r="K35" s="26"/>
      <c r="L35" s="27"/>
      <c r="M35" s="26"/>
      <c r="N35" s="28"/>
    </row>
    <row r="36" spans="11:17">
      <c r="K36" s="26"/>
      <c r="L36" s="26"/>
      <c r="M36" s="26"/>
      <c r="N36" s="26"/>
    </row>
    <row r="38" spans="11:17">
      <c r="K38" t="s">
        <v>117</v>
      </c>
      <c r="L38"/>
      <c r="M38"/>
      <c r="N38"/>
      <c r="O38"/>
      <c r="P38"/>
      <c r="Q38"/>
    </row>
    <row r="39" spans="11:17">
      <c r="K39"/>
      <c r="L39"/>
      <c r="M39"/>
      <c r="N39"/>
      <c r="O39"/>
      <c r="P39"/>
      <c r="Q39"/>
    </row>
    <row r="40" spans="11:17" ht="16.5" thickBot="1">
      <c r="K40" t="s">
        <v>118</v>
      </c>
      <c r="L40"/>
      <c r="M40"/>
      <c r="N40"/>
      <c r="O40"/>
      <c r="P40"/>
      <c r="Q40"/>
    </row>
    <row r="41" spans="11:17">
      <c r="K41" s="5" t="s">
        <v>119</v>
      </c>
      <c r="L41" s="5" t="s">
        <v>120</v>
      </c>
      <c r="M41" s="5" t="s">
        <v>121</v>
      </c>
      <c r="N41" s="5" t="s">
        <v>122</v>
      </c>
      <c r="O41" s="5" t="s">
        <v>3</v>
      </c>
      <c r="P41"/>
      <c r="Q41"/>
    </row>
    <row r="42" spans="11:17">
      <c r="K42" s="3" t="s">
        <v>123</v>
      </c>
      <c r="L42" s="3">
        <v>16</v>
      </c>
      <c r="M42" s="3">
        <v>219.875</v>
      </c>
      <c r="N42" s="3">
        <v>13.7421875</v>
      </c>
      <c r="O42" s="3">
        <v>84.691601562499997</v>
      </c>
      <c r="P42"/>
      <c r="Q42"/>
    </row>
    <row r="43" spans="11:17" ht="16.5" thickBot="1">
      <c r="K43" s="4" t="s">
        <v>124</v>
      </c>
      <c r="L43" s="4">
        <v>17</v>
      </c>
      <c r="M43" s="4">
        <v>209.41176470588235</v>
      </c>
      <c r="N43" s="4">
        <v>12.318339100346021</v>
      </c>
      <c r="O43" s="4">
        <v>72.16438530429474</v>
      </c>
      <c r="P43"/>
      <c r="Q43"/>
    </row>
    <row r="44" spans="11:17">
      <c r="K44"/>
      <c r="L44"/>
      <c r="M44"/>
      <c r="N44"/>
      <c r="O44"/>
      <c r="P44"/>
      <c r="Q44"/>
    </row>
    <row r="45" spans="11:17">
      <c r="K45"/>
      <c r="L45"/>
      <c r="M45"/>
      <c r="N45"/>
      <c r="O45"/>
      <c r="P45"/>
      <c r="Q45"/>
    </row>
    <row r="46" spans="11:17" ht="16.5" thickBot="1">
      <c r="K46" t="s">
        <v>125</v>
      </c>
      <c r="L46"/>
      <c r="M46"/>
      <c r="N46"/>
      <c r="O46"/>
      <c r="P46"/>
      <c r="Q46"/>
    </row>
    <row r="47" spans="11:17">
      <c r="K47" s="5" t="s">
        <v>126</v>
      </c>
      <c r="L47" s="5" t="s">
        <v>127</v>
      </c>
      <c r="M47" s="5" t="s">
        <v>5</v>
      </c>
      <c r="N47" s="5" t="s">
        <v>128</v>
      </c>
      <c r="O47" s="5" t="s">
        <v>6</v>
      </c>
      <c r="P47" s="5" t="s">
        <v>129</v>
      </c>
      <c r="Q47" s="5" t="s">
        <v>130</v>
      </c>
    </row>
    <row r="48" spans="11:17">
      <c r="K48" s="3" t="s">
        <v>131</v>
      </c>
      <c r="L48" s="3">
        <v>16.710231519201443</v>
      </c>
      <c r="M48" s="3">
        <v>1</v>
      </c>
      <c r="N48" s="3">
        <v>16.710231519201443</v>
      </c>
      <c r="O48" s="41">
        <v>0.21361496181871026</v>
      </c>
      <c r="P48" s="41">
        <v>0.64717619001866367</v>
      </c>
      <c r="Q48" s="41">
        <v>4.1596150980317566</v>
      </c>
    </row>
    <row r="49" spans="11:17">
      <c r="K49" s="3" t="s">
        <v>132</v>
      </c>
      <c r="L49" s="3">
        <v>2425.0041883062158</v>
      </c>
      <c r="M49" s="3">
        <v>31</v>
      </c>
      <c r="N49" s="3">
        <v>78.225941558265021</v>
      </c>
      <c r="O49" s="3"/>
      <c r="P49" s="3"/>
      <c r="Q49" s="3"/>
    </row>
    <row r="50" spans="11:17">
      <c r="K50" s="3"/>
      <c r="L50" s="3"/>
      <c r="M50" s="3"/>
      <c r="N50" s="3"/>
      <c r="O50" s="3"/>
      <c r="P50" s="3"/>
      <c r="Q50" s="3"/>
    </row>
    <row r="51" spans="11:17" ht="16.5" thickBot="1">
      <c r="K51" s="4" t="s">
        <v>133</v>
      </c>
      <c r="L51" s="4">
        <v>2441.7144198254173</v>
      </c>
      <c r="M51" s="4">
        <v>32</v>
      </c>
      <c r="N51" s="4"/>
      <c r="O51" s="4"/>
      <c r="P51" s="4"/>
      <c r="Q51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scale="4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1"/>
  <sheetViews>
    <sheetView zoomScale="75" zoomScaleNormal="75" workbookViewId="0">
      <selection activeCell="F43" sqref="F43"/>
    </sheetView>
  </sheetViews>
  <sheetFormatPr defaultColWidth="9.140625" defaultRowHeight="15.75"/>
  <cols>
    <col min="1" max="1" width="11.7109375" style="10" customWidth="1"/>
    <col min="2" max="2" width="13" style="10" customWidth="1"/>
    <col min="3" max="3" width="14.85546875" style="11" customWidth="1"/>
    <col min="4" max="4" width="29.140625" style="11" customWidth="1"/>
    <col min="5" max="5" width="28.5703125" style="11" customWidth="1"/>
    <col min="6" max="6" width="22.42578125" style="11" customWidth="1"/>
    <col min="7" max="9" width="23.5703125" style="11" customWidth="1"/>
    <col min="10" max="10" width="9" style="10" customWidth="1"/>
    <col min="11" max="11" width="23.42578125" style="10" customWidth="1"/>
    <col min="12" max="12" width="51.85546875" style="10" customWidth="1"/>
    <col min="13" max="13" width="22.7109375" style="10" customWidth="1"/>
    <col min="14" max="14" width="77" style="10" customWidth="1"/>
    <col min="15" max="16384" width="9.140625" style="10"/>
  </cols>
  <sheetData>
    <row r="1" spans="1:14" ht="18.75">
      <c r="A1" s="45" t="s">
        <v>135</v>
      </c>
    </row>
    <row r="2" spans="1:14">
      <c r="A2" s="10" t="s">
        <v>144</v>
      </c>
    </row>
    <row r="3" spans="1:14">
      <c r="B3" s="108" t="s">
        <v>142</v>
      </c>
      <c r="C3" s="108" t="s">
        <v>143</v>
      </c>
      <c r="D3" s="108" t="s">
        <v>136</v>
      </c>
      <c r="E3" s="108" t="s">
        <v>137</v>
      </c>
      <c r="F3" s="109" t="s">
        <v>92</v>
      </c>
      <c r="G3" s="109" t="s">
        <v>93</v>
      </c>
      <c r="H3" s="109" t="s">
        <v>94</v>
      </c>
      <c r="I3" s="109" t="s">
        <v>95</v>
      </c>
      <c r="K3" s="12" t="s">
        <v>20</v>
      </c>
      <c r="L3" s="13"/>
      <c r="M3" s="13"/>
      <c r="N3" s="13"/>
    </row>
    <row r="4" spans="1:14" ht="18.75">
      <c r="B4" s="105">
        <v>74</v>
      </c>
      <c r="C4" s="105">
        <v>58</v>
      </c>
      <c r="D4" s="106">
        <f>B4-$M$20</f>
        <v>28.5</v>
      </c>
      <c r="E4" s="106">
        <f>C4-$M$21</f>
        <v>22</v>
      </c>
      <c r="F4" s="106">
        <f>ABS(D4)</f>
        <v>28.5</v>
      </c>
      <c r="G4" s="106">
        <f>ABS(E4)</f>
        <v>22</v>
      </c>
      <c r="H4" s="106">
        <f>(F4-$M$22)^2</f>
        <v>223.12890625</v>
      </c>
      <c r="I4" s="106">
        <f>(G4-$M$23)^2</f>
        <v>97.660899653979243</v>
      </c>
      <c r="K4" s="13"/>
      <c r="L4" s="13" t="s">
        <v>22</v>
      </c>
      <c r="M4" s="13"/>
      <c r="N4" s="13"/>
    </row>
    <row r="5" spans="1:14" ht="18.75">
      <c r="B5" s="105">
        <v>66</v>
      </c>
      <c r="C5" s="105">
        <v>56</v>
      </c>
      <c r="D5" s="106">
        <f t="shared" ref="D5:D19" si="0">B5-$M$20</f>
        <v>20.5</v>
      </c>
      <c r="E5" s="106">
        <f t="shared" ref="E5:E20" si="1">C5-$M$21</f>
        <v>20</v>
      </c>
      <c r="F5" s="106">
        <f t="shared" ref="F5:G20" si="2">ABS(D5)</f>
        <v>20.5</v>
      </c>
      <c r="G5" s="106">
        <f t="shared" si="2"/>
        <v>20</v>
      </c>
      <c r="H5" s="106">
        <f t="shared" ref="H5:H19" si="3">(F5-$M$22)^2</f>
        <v>48.12890625</v>
      </c>
      <c r="I5" s="106">
        <f t="shared" ref="I5:I20" si="4">(G5-$M$23)^2</f>
        <v>62.131487889273366</v>
      </c>
      <c r="K5" s="13"/>
      <c r="L5" s="13" t="s">
        <v>23</v>
      </c>
      <c r="M5" s="13"/>
      <c r="N5" s="13"/>
    </row>
    <row r="6" spans="1:14">
      <c r="B6" s="105">
        <v>64</v>
      </c>
      <c r="C6" s="105">
        <v>49</v>
      </c>
      <c r="D6" s="106">
        <f t="shared" si="0"/>
        <v>18.5</v>
      </c>
      <c r="E6" s="106">
        <f t="shared" si="1"/>
        <v>13</v>
      </c>
      <c r="F6" s="106">
        <f t="shared" si="2"/>
        <v>18.5</v>
      </c>
      <c r="G6" s="106">
        <f t="shared" si="2"/>
        <v>13</v>
      </c>
      <c r="H6" s="106">
        <f t="shared" si="3"/>
        <v>24.37890625</v>
      </c>
      <c r="I6" s="106">
        <f t="shared" si="4"/>
        <v>0.77854671280276888</v>
      </c>
    </row>
    <row r="7" spans="1:14">
      <c r="B7" s="105">
        <v>55</v>
      </c>
      <c r="C7" s="105">
        <v>48</v>
      </c>
      <c r="D7" s="106">
        <f t="shared" si="0"/>
        <v>9.5</v>
      </c>
      <c r="E7" s="106">
        <f t="shared" si="1"/>
        <v>12</v>
      </c>
      <c r="F7" s="106">
        <f t="shared" si="2"/>
        <v>9.5</v>
      </c>
      <c r="G7" s="106">
        <f t="shared" si="2"/>
        <v>12</v>
      </c>
      <c r="H7" s="106">
        <f t="shared" si="3"/>
        <v>16.50390625</v>
      </c>
      <c r="I7" s="106">
        <f t="shared" si="4"/>
        <v>1.3840830449826891E-2</v>
      </c>
      <c r="J7" s="11"/>
      <c r="K7" s="15" t="s">
        <v>24</v>
      </c>
      <c r="L7" s="16" t="s">
        <v>25</v>
      </c>
      <c r="M7" s="16"/>
      <c r="N7" s="16"/>
    </row>
    <row r="8" spans="1:14">
      <c r="B8" s="105">
        <v>53</v>
      </c>
      <c r="C8" s="105">
        <v>47</v>
      </c>
      <c r="D8" s="106">
        <f t="shared" si="0"/>
        <v>7.5</v>
      </c>
      <c r="E8" s="106">
        <f t="shared" si="1"/>
        <v>11</v>
      </c>
      <c r="F8" s="106">
        <f t="shared" si="2"/>
        <v>7.5</v>
      </c>
      <c r="G8" s="106">
        <f t="shared" si="2"/>
        <v>11</v>
      </c>
      <c r="H8" s="106">
        <f t="shared" si="3"/>
        <v>36.75390625</v>
      </c>
      <c r="I8" s="106">
        <f t="shared" si="4"/>
        <v>1.249134948096885</v>
      </c>
      <c r="K8" s="16"/>
      <c r="L8" s="16" t="s">
        <v>78</v>
      </c>
      <c r="M8" s="16"/>
      <c r="N8" s="16"/>
    </row>
    <row r="9" spans="1:14">
      <c r="B9" s="105">
        <v>52</v>
      </c>
      <c r="C9" s="105">
        <v>38</v>
      </c>
      <c r="D9" s="106">
        <f t="shared" si="0"/>
        <v>6.5</v>
      </c>
      <c r="E9" s="106">
        <f t="shared" si="1"/>
        <v>2</v>
      </c>
      <c r="F9" s="106">
        <f t="shared" si="2"/>
        <v>6.5</v>
      </c>
      <c r="G9" s="106">
        <f t="shared" si="2"/>
        <v>2</v>
      </c>
      <c r="H9" s="106">
        <f t="shared" si="3"/>
        <v>49.87890625</v>
      </c>
      <c r="I9" s="106">
        <f t="shared" si="4"/>
        <v>102.3667820069204</v>
      </c>
      <c r="K9" s="16"/>
      <c r="L9" s="16" t="s">
        <v>77</v>
      </c>
      <c r="M9" s="16"/>
      <c r="N9" s="16"/>
    </row>
    <row r="10" spans="1:14">
      <c r="B10" s="105">
        <v>47</v>
      </c>
      <c r="C10" s="105">
        <v>37</v>
      </c>
      <c r="D10" s="106">
        <f t="shared" si="0"/>
        <v>1.5</v>
      </c>
      <c r="E10" s="106">
        <f t="shared" si="1"/>
        <v>1</v>
      </c>
      <c r="F10" s="106">
        <f t="shared" si="2"/>
        <v>1.5</v>
      </c>
      <c r="G10" s="106">
        <f t="shared" si="2"/>
        <v>1</v>
      </c>
      <c r="H10" s="106">
        <f t="shared" si="3"/>
        <v>145.50390625</v>
      </c>
      <c r="I10" s="106">
        <f t="shared" si="4"/>
        <v>123.60207612456746</v>
      </c>
      <c r="K10" s="16"/>
      <c r="L10" s="16"/>
      <c r="M10" s="16"/>
      <c r="N10" s="16"/>
    </row>
    <row r="11" spans="1:14">
      <c r="B11" s="105">
        <v>46</v>
      </c>
      <c r="C11" s="105">
        <v>37</v>
      </c>
      <c r="D11" s="106">
        <f t="shared" si="0"/>
        <v>0.5</v>
      </c>
      <c r="E11" s="106">
        <f t="shared" si="1"/>
        <v>1</v>
      </c>
      <c r="F11" s="106">
        <f t="shared" si="2"/>
        <v>0.5</v>
      </c>
      <c r="G11" s="106">
        <f t="shared" si="2"/>
        <v>1</v>
      </c>
      <c r="H11" s="106">
        <f t="shared" si="3"/>
        <v>170.62890625</v>
      </c>
      <c r="I11" s="106">
        <f t="shared" si="4"/>
        <v>123.60207612456746</v>
      </c>
    </row>
    <row r="12" spans="1:14">
      <c r="B12" s="105">
        <v>45</v>
      </c>
      <c r="C12" s="105">
        <v>36</v>
      </c>
      <c r="D12" s="106">
        <f t="shared" si="0"/>
        <v>-0.5</v>
      </c>
      <c r="E12" s="106">
        <f t="shared" si="1"/>
        <v>0</v>
      </c>
      <c r="F12" s="106">
        <f t="shared" si="2"/>
        <v>0.5</v>
      </c>
      <c r="G12" s="106">
        <f t="shared" si="2"/>
        <v>0</v>
      </c>
      <c r="H12" s="106">
        <f t="shared" si="3"/>
        <v>170.62890625</v>
      </c>
      <c r="I12" s="106">
        <f t="shared" si="4"/>
        <v>146.83737024221452</v>
      </c>
      <c r="K12" s="20" t="s">
        <v>32</v>
      </c>
      <c r="L12" s="21"/>
      <c r="M12" s="21"/>
      <c r="N12" s="21"/>
    </row>
    <row r="13" spans="1:14">
      <c r="B13" s="105">
        <v>37</v>
      </c>
      <c r="C13" s="105">
        <v>34</v>
      </c>
      <c r="D13" s="106">
        <f t="shared" si="0"/>
        <v>-8.5</v>
      </c>
      <c r="E13" s="106">
        <f t="shared" si="1"/>
        <v>-2</v>
      </c>
      <c r="F13" s="106">
        <f t="shared" si="2"/>
        <v>8.5</v>
      </c>
      <c r="G13" s="106">
        <f t="shared" si="2"/>
        <v>2</v>
      </c>
      <c r="H13" s="106">
        <f t="shared" si="3"/>
        <v>25.62890625</v>
      </c>
      <c r="I13" s="106">
        <f t="shared" si="4"/>
        <v>102.3667820069204</v>
      </c>
      <c r="K13" s="20"/>
      <c r="L13" s="122" t="s">
        <v>33</v>
      </c>
      <c r="M13" s="118">
        <v>0.05</v>
      </c>
      <c r="N13" s="21"/>
    </row>
    <row r="14" spans="1:14">
      <c r="B14" s="105">
        <v>36</v>
      </c>
      <c r="C14" s="105">
        <v>26</v>
      </c>
      <c r="D14" s="106">
        <f t="shared" si="0"/>
        <v>-9.5</v>
      </c>
      <c r="E14" s="106">
        <f t="shared" si="1"/>
        <v>-10</v>
      </c>
      <c r="F14" s="106">
        <f t="shared" si="2"/>
        <v>9.5</v>
      </c>
      <c r="G14" s="106">
        <f t="shared" si="2"/>
        <v>10</v>
      </c>
      <c r="H14" s="106">
        <f t="shared" si="3"/>
        <v>16.50390625</v>
      </c>
      <c r="I14" s="106">
        <f t="shared" si="4"/>
        <v>4.4844290657439432</v>
      </c>
      <c r="K14" s="22"/>
      <c r="L14" s="23"/>
    </row>
    <row r="15" spans="1:14">
      <c r="B15" s="105">
        <v>34</v>
      </c>
      <c r="C15" s="105">
        <v>25</v>
      </c>
      <c r="D15" s="106">
        <f t="shared" si="0"/>
        <v>-11.5</v>
      </c>
      <c r="E15" s="106">
        <f t="shared" si="1"/>
        <v>-11</v>
      </c>
      <c r="F15" s="106">
        <f t="shared" si="2"/>
        <v>11.5</v>
      </c>
      <c r="G15" s="106">
        <f t="shared" si="2"/>
        <v>11</v>
      </c>
      <c r="H15" s="106">
        <f t="shared" si="3"/>
        <v>4.25390625</v>
      </c>
      <c r="I15" s="106">
        <f t="shared" si="4"/>
        <v>1.249134948096885</v>
      </c>
      <c r="K15" s="25" t="s">
        <v>34</v>
      </c>
      <c r="L15" s="26"/>
      <c r="M15" s="26"/>
      <c r="N15" s="26"/>
    </row>
    <row r="16" spans="1:14">
      <c r="B16" s="105">
        <v>27</v>
      </c>
      <c r="C16" s="105">
        <v>24</v>
      </c>
      <c r="D16" s="106">
        <f t="shared" si="0"/>
        <v>-18.5</v>
      </c>
      <c r="E16" s="106">
        <f t="shared" si="1"/>
        <v>-12</v>
      </c>
      <c r="F16" s="106">
        <f t="shared" si="2"/>
        <v>18.5</v>
      </c>
      <c r="G16" s="106">
        <f t="shared" si="2"/>
        <v>12</v>
      </c>
      <c r="H16" s="106">
        <f t="shared" si="3"/>
        <v>24.37890625</v>
      </c>
      <c r="I16" s="106">
        <f t="shared" si="4"/>
        <v>1.3840830449826891E-2</v>
      </c>
      <c r="K16" s="26"/>
      <c r="L16" s="112" t="s">
        <v>89</v>
      </c>
      <c r="M16" s="113">
        <f>COUNTA(B3:C3)</f>
        <v>2</v>
      </c>
      <c r="N16" s="28" t="s">
        <v>101</v>
      </c>
    </row>
    <row r="17" spans="2:15">
      <c r="B17" s="105">
        <v>26</v>
      </c>
      <c r="C17" s="105">
        <v>22</v>
      </c>
      <c r="D17" s="106">
        <f t="shared" si="0"/>
        <v>-19.5</v>
      </c>
      <c r="E17" s="106">
        <f t="shared" si="1"/>
        <v>-14</v>
      </c>
      <c r="F17" s="106">
        <f t="shared" si="2"/>
        <v>19.5</v>
      </c>
      <c r="G17" s="106">
        <f t="shared" si="2"/>
        <v>14</v>
      </c>
      <c r="H17" s="106">
        <f t="shared" si="3"/>
        <v>35.25390625</v>
      </c>
      <c r="I17" s="106">
        <f t="shared" si="4"/>
        <v>3.5432525951557108</v>
      </c>
      <c r="K17" s="29"/>
      <c r="L17" s="112" t="s">
        <v>81</v>
      </c>
      <c r="M17" s="112">
        <f>COUNT(B4:B19)</f>
        <v>16</v>
      </c>
      <c r="N17" s="28" t="s">
        <v>36</v>
      </c>
    </row>
    <row r="18" spans="2:15">
      <c r="B18" s="105">
        <v>18</v>
      </c>
      <c r="C18" s="105">
        <v>15</v>
      </c>
      <c r="D18" s="106">
        <f t="shared" si="0"/>
        <v>-27.5</v>
      </c>
      <c r="E18" s="106">
        <f t="shared" si="1"/>
        <v>-21</v>
      </c>
      <c r="F18" s="106">
        <f t="shared" si="2"/>
        <v>27.5</v>
      </c>
      <c r="G18" s="106">
        <f t="shared" si="2"/>
        <v>21</v>
      </c>
      <c r="H18" s="106">
        <f t="shared" si="3"/>
        <v>194.25390625</v>
      </c>
      <c r="I18" s="106">
        <f t="shared" si="4"/>
        <v>78.896193771626301</v>
      </c>
      <c r="K18" s="26"/>
      <c r="L18" s="112" t="s">
        <v>82</v>
      </c>
      <c r="M18" s="113">
        <f>COUNT(C4:C20)</f>
        <v>17</v>
      </c>
      <c r="N18" s="28" t="s">
        <v>38</v>
      </c>
    </row>
    <row r="19" spans="2:15">
      <c r="B19" s="105">
        <v>17</v>
      </c>
      <c r="C19" s="105">
        <v>14</v>
      </c>
      <c r="D19" s="106">
        <f t="shared" si="0"/>
        <v>-28.5</v>
      </c>
      <c r="E19" s="106">
        <f t="shared" si="1"/>
        <v>-22</v>
      </c>
      <c r="F19" s="106">
        <f t="shared" si="2"/>
        <v>28.5</v>
      </c>
      <c r="G19" s="106">
        <f t="shared" si="2"/>
        <v>22</v>
      </c>
      <c r="H19" s="106">
        <f t="shared" si="3"/>
        <v>223.12890625</v>
      </c>
      <c r="I19" s="106">
        <f t="shared" si="4"/>
        <v>97.660899653979243</v>
      </c>
      <c r="K19" s="26"/>
      <c r="L19" s="112" t="s">
        <v>83</v>
      </c>
      <c r="M19" s="113">
        <f>M17+M18</f>
        <v>33</v>
      </c>
      <c r="N19" s="28" t="s">
        <v>102</v>
      </c>
    </row>
    <row r="20" spans="2:15">
      <c r="B20" s="105"/>
      <c r="C20" s="105">
        <v>4</v>
      </c>
      <c r="D20" s="106"/>
      <c r="E20" s="106">
        <f t="shared" si="1"/>
        <v>-32</v>
      </c>
      <c r="F20" s="106"/>
      <c r="G20" s="106">
        <f t="shared" si="2"/>
        <v>32</v>
      </c>
      <c r="H20" s="106"/>
      <c r="I20" s="106">
        <f t="shared" si="4"/>
        <v>395.30795847750869</v>
      </c>
      <c r="K20" s="26"/>
      <c r="L20" s="117" t="s">
        <v>138</v>
      </c>
      <c r="M20" s="118">
        <f>MEDIAN(B4:B19)</f>
        <v>45.5</v>
      </c>
      <c r="N20" s="28" t="s">
        <v>145</v>
      </c>
    </row>
    <row r="21" spans="2:15">
      <c r="B21" s="11"/>
      <c r="D21" s="42"/>
      <c r="E21" s="42"/>
      <c r="F21" s="42"/>
      <c r="G21" s="42"/>
      <c r="H21" s="42"/>
      <c r="I21" s="42"/>
      <c r="K21" s="26"/>
      <c r="L21" s="117" t="s">
        <v>139</v>
      </c>
      <c r="M21" s="118">
        <f>MEDIAN(C4:C20)</f>
        <v>36</v>
      </c>
      <c r="N21" s="28" t="s">
        <v>146</v>
      </c>
    </row>
    <row r="22" spans="2:15">
      <c r="B22" s="11"/>
      <c r="D22" s="42"/>
      <c r="E22" s="42"/>
      <c r="F22" s="42"/>
      <c r="G22" s="42"/>
      <c r="H22" s="42"/>
      <c r="I22" s="42"/>
      <c r="K22" s="26"/>
      <c r="L22" s="112" t="s">
        <v>96</v>
      </c>
      <c r="M22" s="124">
        <f>AVERAGE(F4:F19)</f>
        <v>13.5625</v>
      </c>
      <c r="N22" s="44" t="s">
        <v>105</v>
      </c>
    </row>
    <row r="23" spans="2:15">
      <c r="B23" s="11"/>
      <c r="D23" s="42"/>
      <c r="E23" s="42"/>
      <c r="F23" s="42"/>
      <c r="G23" s="42"/>
      <c r="H23" s="42"/>
      <c r="I23" s="42"/>
      <c r="K23" s="26"/>
      <c r="L23" s="112" t="s">
        <v>97</v>
      </c>
      <c r="M23" s="124">
        <f>AVERAGE(G4:G20)</f>
        <v>12.117647058823529</v>
      </c>
      <c r="N23" s="44" t="s">
        <v>106</v>
      </c>
    </row>
    <row r="24" spans="2:15">
      <c r="B24" s="11"/>
      <c r="D24" s="42"/>
      <c r="E24" s="42"/>
      <c r="F24" s="42"/>
      <c r="G24" s="42"/>
      <c r="H24" s="42"/>
      <c r="I24" s="42"/>
      <c r="K24" s="26"/>
      <c r="L24" s="112" t="s">
        <v>98</v>
      </c>
      <c r="M24" s="120">
        <f>AVERAGE(F4:F19,G4:G20)</f>
        <v>12.818181818181818</v>
      </c>
      <c r="N24" s="44" t="s">
        <v>134</v>
      </c>
      <c r="O24" s="48"/>
    </row>
    <row r="25" spans="2:15">
      <c r="B25" s="11"/>
      <c r="D25" s="42"/>
      <c r="E25" s="42"/>
      <c r="F25" s="42"/>
      <c r="G25" s="42"/>
      <c r="H25" s="42"/>
      <c r="I25" s="42"/>
      <c r="K25" s="26"/>
      <c r="L25" s="121" t="s">
        <v>99</v>
      </c>
      <c r="M25" s="115">
        <f>SUM(H4:H21)</f>
        <v>1408.9375</v>
      </c>
      <c r="N25" s="44" t="s">
        <v>107</v>
      </c>
    </row>
    <row r="26" spans="2:15">
      <c r="B26" s="11"/>
      <c r="D26" s="42"/>
      <c r="E26" s="42"/>
      <c r="F26" s="42"/>
      <c r="G26" s="42"/>
      <c r="H26" s="42"/>
      <c r="I26" s="42"/>
      <c r="K26" s="30"/>
      <c r="L26" s="121" t="s">
        <v>100</v>
      </c>
      <c r="M26" s="115">
        <f>SUM(I4:I28)</f>
        <v>1341.7647058823529</v>
      </c>
      <c r="N26" s="44" t="s">
        <v>108</v>
      </c>
    </row>
    <row r="27" spans="2:15">
      <c r="B27" s="11"/>
      <c r="D27" s="42"/>
      <c r="E27" s="42"/>
      <c r="F27" s="42"/>
      <c r="G27" s="42"/>
      <c r="H27" s="42"/>
      <c r="I27" s="42"/>
      <c r="K27" s="30"/>
      <c r="L27" s="26"/>
      <c r="M27" s="26"/>
      <c r="N27" s="28"/>
    </row>
    <row r="28" spans="2:15">
      <c r="B28" s="11"/>
      <c r="D28" s="42"/>
      <c r="E28" s="42"/>
      <c r="F28" s="42"/>
      <c r="G28" s="42"/>
      <c r="H28" s="42"/>
      <c r="I28" s="42"/>
      <c r="K28" s="26"/>
      <c r="L28" s="27" t="s">
        <v>86</v>
      </c>
      <c r="M28" s="28"/>
      <c r="N28" s="28"/>
    </row>
    <row r="29" spans="2:15">
      <c r="K29" s="26"/>
      <c r="L29" s="117" t="s">
        <v>84</v>
      </c>
      <c r="M29" s="118">
        <f>((M19-M16)/(M16-1))*(M17*(M22-M24)^2+M18*(M23-M24)^2)/(M25+M26)</f>
        <v>0.19391900536822099</v>
      </c>
      <c r="N29" s="28" t="s">
        <v>109</v>
      </c>
    </row>
    <row r="30" spans="2:15">
      <c r="K30" s="43"/>
      <c r="L30" s="26"/>
      <c r="M30" s="26"/>
      <c r="N30" s="26"/>
    </row>
    <row r="31" spans="2:15">
      <c r="K31" s="30"/>
      <c r="L31" s="112" t="s">
        <v>87</v>
      </c>
      <c r="M31" s="119">
        <f>M16-1</f>
        <v>1</v>
      </c>
      <c r="N31" s="28" t="s">
        <v>110</v>
      </c>
    </row>
    <row r="32" spans="2:15">
      <c r="K32" s="26"/>
      <c r="L32" s="112" t="s">
        <v>88</v>
      </c>
      <c r="M32" s="119">
        <f>M19-M16</f>
        <v>31</v>
      </c>
      <c r="N32" s="28" t="s">
        <v>111</v>
      </c>
    </row>
    <row r="33" spans="11:17">
      <c r="K33" s="26"/>
      <c r="L33" s="117" t="s">
        <v>115</v>
      </c>
      <c r="M33" s="118">
        <f>_xlfn.F.DIST.RT(M29,M31,M32)</f>
        <v>0.66273010411295274</v>
      </c>
      <c r="N33" s="28" t="s">
        <v>114</v>
      </c>
    </row>
    <row r="34" spans="11:17">
      <c r="K34" s="26"/>
      <c r="L34" s="117" t="s">
        <v>113</v>
      </c>
      <c r="M34" s="123">
        <f>_xlfn.F.INV.RT(M13,M31,M32)</f>
        <v>4.1596150980317566</v>
      </c>
      <c r="N34" s="47" t="s">
        <v>112</v>
      </c>
    </row>
    <row r="35" spans="11:17">
      <c r="K35" s="26"/>
      <c r="L35" s="27"/>
      <c r="M35" s="26"/>
      <c r="N35" s="28"/>
    </row>
    <row r="36" spans="11:17">
      <c r="K36" s="26"/>
      <c r="L36" s="26"/>
      <c r="M36" s="26"/>
      <c r="N36" s="26"/>
    </row>
    <row r="38" spans="11:17">
      <c r="K38" t="s">
        <v>117</v>
      </c>
      <c r="L38"/>
      <c r="M38"/>
      <c r="N38"/>
      <c r="O38"/>
      <c r="P38"/>
      <c r="Q38"/>
    </row>
    <row r="39" spans="11:17">
      <c r="K39"/>
      <c r="L39"/>
      <c r="M39"/>
      <c r="N39"/>
      <c r="O39"/>
      <c r="P39"/>
      <c r="Q39"/>
    </row>
    <row r="40" spans="11:17" ht="16.5" thickBot="1">
      <c r="K40" t="s">
        <v>118</v>
      </c>
      <c r="L40"/>
      <c r="M40"/>
      <c r="N40"/>
      <c r="O40"/>
      <c r="P40"/>
      <c r="Q40"/>
    </row>
    <row r="41" spans="11:17">
      <c r="K41" s="5" t="s">
        <v>119</v>
      </c>
      <c r="L41" s="5" t="s">
        <v>120</v>
      </c>
      <c r="M41" s="5" t="s">
        <v>121</v>
      </c>
      <c r="N41" s="5" t="s">
        <v>122</v>
      </c>
      <c r="O41" s="5" t="s">
        <v>3</v>
      </c>
      <c r="P41"/>
      <c r="Q41"/>
    </row>
    <row r="42" spans="11:17">
      <c r="K42" s="3" t="s">
        <v>123</v>
      </c>
      <c r="L42" s="3">
        <v>16</v>
      </c>
      <c r="M42" s="3">
        <v>217</v>
      </c>
      <c r="N42" s="3">
        <v>13.5625</v>
      </c>
      <c r="O42" s="3">
        <v>93.92916666666666</v>
      </c>
      <c r="P42"/>
      <c r="Q42"/>
    </row>
    <row r="43" spans="11:17" ht="16.5" thickBot="1">
      <c r="K43" s="4" t="s">
        <v>124</v>
      </c>
      <c r="L43" s="4">
        <v>17</v>
      </c>
      <c r="M43" s="4">
        <v>206</v>
      </c>
      <c r="N43" s="4">
        <v>12.117647058823529</v>
      </c>
      <c r="O43" s="4">
        <v>83.860294117647072</v>
      </c>
      <c r="P43"/>
      <c r="Q43"/>
    </row>
    <row r="44" spans="11:17">
      <c r="K44"/>
      <c r="L44"/>
      <c r="M44"/>
      <c r="N44"/>
      <c r="O44"/>
      <c r="P44"/>
      <c r="Q44"/>
    </row>
    <row r="45" spans="11:17">
      <c r="K45"/>
      <c r="L45"/>
      <c r="M45"/>
      <c r="N45"/>
      <c r="O45"/>
      <c r="P45"/>
      <c r="Q45"/>
    </row>
    <row r="46" spans="11:17" ht="16.5" thickBot="1">
      <c r="K46" t="s">
        <v>125</v>
      </c>
      <c r="L46"/>
      <c r="M46"/>
      <c r="N46"/>
      <c r="O46"/>
      <c r="P46"/>
      <c r="Q46"/>
    </row>
    <row r="47" spans="11:17">
      <c r="K47" s="5" t="s">
        <v>126</v>
      </c>
      <c r="L47" s="5" t="s">
        <v>127</v>
      </c>
      <c r="M47" s="5" t="s">
        <v>5</v>
      </c>
      <c r="N47" s="5" t="s">
        <v>128</v>
      </c>
      <c r="O47" s="5" t="s">
        <v>6</v>
      </c>
      <c r="P47" s="5" t="s">
        <v>129</v>
      </c>
      <c r="Q47" s="5" t="s">
        <v>130</v>
      </c>
    </row>
    <row r="48" spans="11:17">
      <c r="K48" s="3" t="s">
        <v>131</v>
      </c>
      <c r="L48" s="3">
        <v>17.206885026737382</v>
      </c>
      <c r="M48" s="3">
        <v>1</v>
      </c>
      <c r="N48" s="3">
        <v>17.206885026737382</v>
      </c>
      <c r="O48" s="40">
        <v>0.19391900536821427</v>
      </c>
      <c r="P48" s="40">
        <v>0.66273010411295818</v>
      </c>
      <c r="Q48" s="40">
        <v>4.1596150980317566</v>
      </c>
    </row>
    <row r="49" spans="11:17">
      <c r="K49" s="3" t="s">
        <v>132</v>
      </c>
      <c r="L49" s="3">
        <v>2750.7022058823532</v>
      </c>
      <c r="M49" s="3">
        <v>31</v>
      </c>
      <c r="N49" s="3">
        <v>88.732329222011387</v>
      </c>
      <c r="O49" s="3"/>
      <c r="P49" s="3"/>
      <c r="Q49" s="3"/>
    </row>
    <row r="50" spans="11:17">
      <c r="K50" s="3"/>
      <c r="L50" s="3"/>
      <c r="M50" s="3"/>
      <c r="N50" s="3"/>
      <c r="O50" s="3"/>
      <c r="P50" s="3"/>
      <c r="Q50" s="3"/>
    </row>
    <row r="51" spans="11:17" ht="16.5" thickBot="1">
      <c r="K51" s="4" t="s">
        <v>133</v>
      </c>
      <c r="L51" s="4">
        <v>2767.9090909090905</v>
      </c>
      <c r="M51" s="4">
        <v>32</v>
      </c>
      <c r="N51" s="4"/>
      <c r="O51" s="4"/>
      <c r="P51" s="4"/>
      <c r="Q51" s="4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8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F-test for pop vars</vt:lpstr>
      <vt:lpstr>Levene's test - Mean</vt:lpstr>
      <vt:lpstr>X1</vt:lpstr>
      <vt:lpstr>X2</vt:lpstr>
      <vt:lpstr>Mod Levene's test - Median</vt:lpstr>
      <vt:lpstr>Levene's test - Example 2</vt:lpstr>
      <vt:lpstr>Mod Levene's test - Example 2</vt:lpstr>
    </vt:vector>
  </TitlesOfParts>
  <Company>ICT User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Glyn Davis</dc:creator>
  <cp:lastModifiedBy>Branko Pecar</cp:lastModifiedBy>
  <cp:lastPrinted>2019-05-17T13:14:50Z</cp:lastPrinted>
  <dcterms:created xsi:type="dcterms:W3CDTF">2017-05-10T07:39:42Z</dcterms:created>
  <dcterms:modified xsi:type="dcterms:W3CDTF">2020-09-16T10:34:53Z</dcterms:modified>
</cp:coreProperties>
</file>